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firstSheet="2" activeTab="2"/>
  </bookViews>
  <sheets>
    <sheet name="To trinh BCS" sheetId="4" state="hidden" r:id="rId1"/>
    <sheet name="To trinh UBND" sheetId="5" state="hidden" r:id="rId2"/>
    <sheet name="PL VII" sheetId="6" r:id="rId3"/>
    <sheet name="Sheet2" sheetId="2" r:id="rId4"/>
    <sheet name="Sheet3" sheetId="3" r:id="rId5"/>
  </sheets>
  <definedNames>
    <definedName name="_xlnm.Print_Titles" localSheetId="2">'PL VII'!$11:$13</definedName>
    <definedName name="_xlnm.Print_Titles" localSheetId="0">'To trinh BCS'!$6:$8</definedName>
    <definedName name="_xlnm.Print_Titles" localSheetId="1">'To trinh UBND'!$6:$8</definedName>
  </definedNames>
  <calcPr calcId="124519"/>
</workbook>
</file>

<file path=xl/calcChain.xml><?xml version="1.0" encoding="utf-8"?>
<calcChain xmlns="http://schemas.openxmlformats.org/spreadsheetml/2006/main">
  <c r="E66" i="6"/>
  <c r="F66"/>
  <c r="G66"/>
  <c r="H66"/>
  <c r="J66"/>
  <c r="K66"/>
  <c r="L66"/>
  <c r="N66"/>
  <c r="P66"/>
  <c r="Q66"/>
  <c r="R66"/>
  <c r="T66"/>
  <c r="C85"/>
  <c r="C105"/>
  <c r="T24"/>
  <c r="C103"/>
  <c r="S23"/>
  <c r="O98"/>
  <c r="T28" l="1"/>
  <c r="S28"/>
  <c r="S17"/>
  <c r="C72"/>
  <c r="C117"/>
  <c r="C119" l="1"/>
  <c r="C120"/>
  <c r="C113"/>
  <c r="S118"/>
  <c r="C116"/>
  <c r="C108"/>
  <c r="C109"/>
  <c r="C110"/>
  <c r="C111"/>
  <c r="C112"/>
  <c r="C118"/>
  <c r="C114"/>
  <c r="C115"/>
  <c r="C93"/>
  <c r="C73"/>
  <c r="C74"/>
  <c r="C99"/>
  <c r="C100"/>
  <c r="C101"/>
  <c r="C102"/>
  <c r="C107"/>
  <c r="T20"/>
  <c r="S20"/>
  <c r="S35"/>
  <c r="S32"/>
  <c r="S24"/>
  <c r="T27"/>
  <c r="S27"/>
  <c r="S37"/>
  <c r="S21"/>
  <c r="S26"/>
  <c r="T26"/>
  <c r="T25"/>
  <c r="S25"/>
  <c r="S22"/>
  <c r="T30"/>
  <c r="S30"/>
  <c r="T31"/>
  <c r="S31"/>
  <c r="S16"/>
  <c r="S40"/>
  <c r="I40"/>
  <c r="S49"/>
  <c r="S34"/>
  <c r="S41"/>
  <c r="D40"/>
  <c r="S39"/>
  <c r="D16"/>
  <c r="S33"/>
  <c r="D33"/>
  <c r="D25"/>
  <c r="D22"/>
  <c r="D26"/>
  <c r="S45"/>
  <c r="T44"/>
  <c r="D44"/>
  <c r="D23"/>
  <c r="D28"/>
  <c r="D31"/>
  <c r="I75"/>
  <c r="I66" s="1"/>
  <c r="O75"/>
  <c r="O66" s="1"/>
  <c r="M75"/>
  <c r="M66" s="1"/>
  <c r="D75"/>
  <c r="D66" s="1"/>
  <c r="T23"/>
  <c r="S68"/>
  <c r="S51"/>
  <c r="S50"/>
  <c r="C37"/>
  <c r="T35"/>
  <c r="S36"/>
  <c r="T33"/>
  <c r="P30"/>
  <c r="S29"/>
  <c r="T22"/>
  <c r="P19"/>
  <c r="S19"/>
  <c r="S18"/>
  <c r="C66" l="1"/>
  <c r="S66"/>
  <c r="C71"/>
  <c r="C106"/>
  <c r="C104"/>
  <c r="C98"/>
  <c r="C97"/>
  <c r="C96"/>
  <c r="C95"/>
  <c r="C94"/>
  <c r="C92"/>
  <c r="C91"/>
  <c r="C90"/>
  <c r="C89"/>
  <c r="C88"/>
  <c r="C87"/>
  <c r="C86"/>
  <c r="C84"/>
  <c r="C83"/>
  <c r="C82"/>
  <c r="C81"/>
  <c r="C80"/>
  <c r="C79"/>
  <c r="C78"/>
  <c r="C77"/>
  <c r="C76"/>
  <c r="C75"/>
  <c r="C70"/>
  <c r="C69"/>
  <c r="C68"/>
  <c r="C67"/>
  <c r="C65"/>
  <c r="C64"/>
  <c r="C63"/>
  <c r="C62"/>
  <c r="C61"/>
  <c r="C60"/>
  <c r="C59"/>
  <c r="C58"/>
  <c r="C57"/>
  <c r="C54"/>
  <c r="C55"/>
  <c r="C56"/>
  <c r="C53"/>
  <c r="C52"/>
  <c r="C51"/>
  <c r="C50"/>
  <c r="C49"/>
  <c r="C48"/>
  <c r="C47"/>
  <c r="C46"/>
  <c r="C45"/>
  <c r="C44"/>
  <c r="C43"/>
  <c r="C42"/>
  <c r="C41"/>
  <c r="C40"/>
  <c r="C39"/>
  <c r="C38"/>
  <c r="C36"/>
  <c r="C35"/>
  <c r="C34"/>
  <c r="C33"/>
  <c r="C32"/>
  <c r="C31"/>
  <c r="C30"/>
  <c r="C29"/>
  <c r="C28"/>
  <c r="C27"/>
  <c r="C26"/>
  <c r="C25"/>
  <c r="C24"/>
  <c r="C23"/>
  <c r="T15"/>
  <c r="C22"/>
  <c r="C21"/>
  <c r="C20"/>
  <c r="C19"/>
  <c r="C18"/>
  <c r="C17"/>
  <c r="S15"/>
  <c r="C16"/>
  <c r="R15"/>
  <c r="Q15"/>
  <c r="P15"/>
  <c r="N15"/>
  <c r="L15"/>
  <c r="K15"/>
  <c r="K14" s="1"/>
  <c r="J15"/>
  <c r="J14" s="1"/>
  <c r="I15"/>
  <c r="H15"/>
  <c r="G15"/>
  <c r="F15"/>
  <c r="F14" s="1"/>
  <c r="E15"/>
  <c r="D13"/>
  <c r="E13" s="1"/>
  <c r="F13" s="1"/>
  <c r="G13" s="1"/>
  <c r="H13" s="1"/>
  <c r="I13" s="1"/>
  <c r="J13" s="1"/>
  <c r="K13" s="1"/>
  <c r="L13" s="1"/>
  <c r="M13" s="1"/>
  <c r="N13" s="1"/>
  <c r="O13" s="1"/>
  <c r="P13" s="1"/>
  <c r="Q13" s="1"/>
  <c r="R13" s="1"/>
  <c r="G14" l="1"/>
  <c r="I14"/>
  <c r="L14"/>
  <c r="H14"/>
  <c r="Q14"/>
  <c r="E14"/>
  <c r="P14"/>
  <c r="N14"/>
  <c r="T14"/>
  <c r="R14"/>
  <c r="S14"/>
  <c r="O15"/>
  <c r="O14" s="1"/>
  <c r="D15"/>
  <c r="D14" s="1"/>
  <c r="M15"/>
  <c r="M14" s="1"/>
  <c r="C14" l="1"/>
  <c r="C15"/>
  <c r="C92" i="5"/>
  <c r="C91"/>
  <c r="C90"/>
  <c r="C89"/>
  <c r="C88"/>
  <c r="C87"/>
  <c r="C86"/>
  <c r="C85"/>
  <c r="C84"/>
  <c r="C83"/>
  <c r="C82"/>
  <c r="O81"/>
  <c r="O60" s="1"/>
  <c r="C81"/>
  <c r="C80"/>
  <c r="C79"/>
  <c r="C78"/>
  <c r="C77"/>
  <c r="C76"/>
  <c r="C75"/>
  <c r="C74"/>
  <c r="C73"/>
  <c r="C72"/>
  <c r="C71"/>
  <c r="C70"/>
  <c r="C69"/>
  <c r="C68"/>
  <c r="C67"/>
  <c r="C66"/>
  <c r="C65"/>
  <c r="C64"/>
  <c r="C63"/>
  <c r="C62"/>
  <c r="C61"/>
  <c r="T60"/>
  <c r="S60"/>
  <c r="R60"/>
  <c r="Q60"/>
  <c r="P60"/>
  <c r="N60"/>
  <c r="M60"/>
  <c r="L60"/>
  <c r="K60"/>
  <c r="J60"/>
  <c r="I60"/>
  <c r="H60"/>
  <c r="G60"/>
  <c r="F60"/>
  <c r="E60"/>
  <c r="D60"/>
  <c r="C59"/>
  <c r="C58"/>
  <c r="C57"/>
  <c r="C56"/>
  <c r="C55"/>
  <c r="C54"/>
  <c r="C53"/>
  <c r="C52"/>
  <c r="C51"/>
  <c r="C50"/>
  <c r="S49"/>
  <c r="C49"/>
  <c r="C48"/>
  <c r="C47"/>
  <c r="C46"/>
  <c r="C45"/>
  <c r="C44"/>
  <c r="C43"/>
  <c r="S42"/>
  <c r="C42"/>
  <c r="C41"/>
  <c r="C40"/>
  <c r="C39"/>
  <c r="C38"/>
  <c r="S37"/>
  <c r="C37"/>
  <c r="S36"/>
  <c r="C36"/>
  <c r="S35"/>
  <c r="C35"/>
  <c r="S34"/>
  <c r="D34"/>
  <c r="C34" s="1"/>
  <c r="S33"/>
  <c r="C33"/>
  <c r="C32"/>
  <c r="S31"/>
  <c r="C31"/>
  <c r="S30"/>
  <c r="M30"/>
  <c r="C30" s="1"/>
  <c r="S29"/>
  <c r="C29"/>
  <c r="T28"/>
  <c r="S28"/>
  <c r="C28"/>
  <c r="S27"/>
  <c r="C27"/>
  <c r="T26"/>
  <c r="S26"/>
  <c r="D26"/>
  <c r="C26" s="1"/>
  <c r="T25"/>
  <c r="S25"/>
  <c r="C25"/>
  <c r="S24"/>
  <c r="C24"/>
  <c r="T23"/>
  <c r="S23"/>
  <c r="C23"/>
  <c r="S22"/>
  <c r="C22"/>
  <c r="T21"/>
  <c r="S21"/>
  <c r="D21"/>
  <c r="C21" s="1"/>
  <c r="T20"/>
  <c r="S20"/>
  <c r="C20"/>
  <c r="T19"/>
  <c r="S19"/>
  <c r="C19"/>
  <c r="S18"/>
  <c r="D18"/>
  <c r="C18" s="1"/>
  <c r="T17"/>
  <c r="S17"/>
  <c r="C17"/>
  <c r="S16"/>
  <c r="M16"/>
  <c r="C16" s="1"/>
  <c r="T15"/>
  <c r="S15"/>
  <c r="C15"/>
  <c r="S14"/>
  <c r="C14"/>
  <c r="S13"/>
  <c r="C13"/>
  <c r="T12"/>
  <c r="S12"/>
  <c r="C12"/>
  <c r="S11"/>
  <c r="C11"/>
  <c r="R10"/>
  <c r="Q10"/>
  <c r="Q9" s="1"/>
  <c r="P10"/>
  <c r="P9" s="1"/>
  <c r="N10"/>
  <c r="N9" s="1"/>
  <c r="L10"/>
  <c r="K10"/>
  <c r="K9" s="1"/>
  <c r="J10"/>
  <c r="J9" s="1"/>
  <c r="I10"/>
  <c r="I9" s="1"/>
  <c r="H10"/>
  <c r="G10"/>
  <c r="G9" s="1"/>
  <c r="F10"/>
  <c r="F9" s="1"/>
  <c r="E10"/>
  <c r="E9" s="1"/>
  <c r="L9"/>
  <c r="H9"/>
  <c r="D8"/>
  <c r="E8" s="1"/>
  <c r="F8" s="1"/>
  <c r="G8" s="1"/>
  <c r="H8" s="1"/>
  <c r="I8" s="1"/>
  <c r="J8" s="1"/>
  <c r="K8" s="1"/>
  <c r="L8" s="1"/>
  <c r="M8" s="1"/>
  <c r="N8" s="1"/>
  <c r="O8" s="1"/>
  <c r="P8" s="1"/>
  <c r="Q8" s="1"/>
  <c r="R8" s="1"/>
  <c r="T10" l="1"/>
  <c r="T9" s="1"/>
  <c r="C60"/>
  <c r="S10"/>
  <c r="S9" s="1"/>
  <c r="R9"/>
  <c r="O16"/>
  <c r="O10" s="1"/>
  <c r="O9" s="1"/>
  <c r="D10"/>
  <c r="D9" s="1"/>
  <c r="M10"/>
  <c r="M9" s="1"/>
  <c r="C92" i="4"/>
  <c r="C91"/>
  <c r="C90"/>
  <c r="C89"/>
  <c r="C88"/>
  <c r="C87"/>
  <c r="C86"/>
  <c r="C85"/>
  <c r="C84"/>
  <c r="C83"/>
  <c r="C82"/>
  <c r="O81"/>
  <c r="C81"/>
  <c r="C80"/>
  <c r="C79"/>
  <c r="C78"/>
  <c r="C77"/>
  <c r="C76"/>
  <c r="C75"/>
  <c r="C74"/>
  <c r="C73"/>
  <c r="C72"/>
  <c r="C71"/>
  <c r="C70"/>
  <c r="C69"/>
  <c r="C68"/>
  <c r="C67"/>
  <c r="C66"/>
  <c r="C65"/>
  <c r="C64"/>
  <c r="C63"/>
  <c r="C62"/>
  <c r="C61"/>
  <c r="T60"/>
  <c r="S60"/>
  <c r="R60"/>
  <c r="Q60"/>
  <c r="P60"/>
  <c r="O60"/>
  <c r="N60"/>
  <c r="M60"/>
  <c r="L60"/>
  <c r="K60"/>
  <c r="J60"/>
  <c r="I60"/>
  <c r="H60"/>
  <c r="G60"/>
  <c r="F60"/>
  <c r="E60"/>
  <c r="D60"/>
  <c r="C60" s="1"/>
  <c r="C59"/>
  <c r="C58"/>
  <c r="C57"/>
  <c r="C56"/>
  <c r="C55"/>
  <c r="C54"/>
  <c r="C53"/>
  <c r="C52"/>
  <c r="C51"/>
  <c r="C50"/>
  <c r="S49"/>
  <c r="C49"/>
  <c r="C48"/>
  <c r="C47"/>
  <c r="C46"/>
  <c r="C45"/>
  <c r="C44"/>
  <c r="C43"/>
  <c r="S42"/>
  <c r="C42"/>
  <c r="C41"/>
  <c r="C40"/>
  <c r="C39"/>
  <c r="C38"/>
  <c r="S37"/>
  <c r="C37"/>
  <c r="S36"/>
  <c r="C36"/>
  <c r="S35"/>
  <c r="C35"/>
  <c r="S34"/>
  <c r="D34"/>
  <c r="C34" s="1"/>
  <c r="S33"/>
  <c r="C33"/>
  <c r="C32"/>
  <c r="S31"/>
  <c r="C31"/>
  <c r="S30"/>
  <c r="M30"/>
  <c r="C30" s="1"/>
  <c r="S29"/>
  <c r="C29"/>
  <c r="T28"/>
  <c r="S28"/>
  <c r="C28"/>
  <c r="S27"/>
  <c r="C27"/>
  <c r="T26"/>
  <c r="S26"/>
  <c r="D26"/>
  <c r="C26"/>
  <c r="T25"/>
  <c r="S25"/>
  <c r="C25"/>
  <c r="S24"/>
  <c r="C24"/>
  <c r="T23"/>
  <c r="S23"/>
  <c r="C23"/>
  <c r="S22"/>
  <c r="C22"/>
  <c r="T21"/>
  <c r="S21"/>
  <c r="D21"/>
  <c r="C21"/>
  <c r="T20"/>
  <c r="S20"/>
  <c r="C20"/>
  <c r="T19"/>
  <c r="S19"/>
  <c r="C19"/>
  <c r="S18"/>
  <c r="D18"/>
  <c r="C18" s="1"/>
  <c r="T17"/>
  <c r="S17"/>
  <c r="C17"/>
  <c r="S16"/>
  <c r="M16"/>
  <c r="O16" s="1"/>
  <c r="O10" s="1"/>
  <c r="C16"/>
  <c r="T15"/>
  <c r="S15"/>
  <c r="C15"/>
  <c r="S14"/>
  <c r="C14"/>
  <c r="S13"/>
  <c r="C13"/>
  <c r="T12"/>
  <c r="S12"/>
  <c r="C12"/>
  <c r="S11"/>
  <c r="C11"/>
  <c r="R10"/>
  <c r="Q10"/>
  <c r="P10"/>
  <c r="N10"/>
  <c r="N9" s="1"/>
  <c r="L10"/>
  <c r="L9" s="1"/>
  <c r="K10"/>
  <c r="K9" s="1"/>
  <c r="J10"/>
  <c r="I10"/>
  <c r="H10"/>
  <c r="H9" s="1"/>
  <c r="G10"/>
  <c r="G9" s="1"/>
  <c r="F10"/>
  <c r="F9" s="1"/>
  <c r="E10"/>
  <c r="E9" s="1"/>
  <c r="R9"/>
  <c r="Q9"/>
  <c r="J9"/>
  <c r="I9"/>
  <c r="D8"/>
  <c r="E8" s="1"/>
  <c r="F8" s="1"/>
  <c r="G8" s="1"/>
  <c r="H8" s="1"/>
  <c r="I8" s="1"/>
  <c r="J8" s="1"/>
  <c r="K8" s="1"/>
  <c r="L8" s="1"/>
  <c r="M8" s="1"/>
  <c r="N8" s="1"/>
  <c r="O8" s="1"/>
  <c r="P8" s="1"/>
  <c r="Q8" s="1"/>
  <c r="R8" s="1"/>
  <c r="C9" i="5" l="1"/>
  <c r="C10"/>
  <c r="P9" i="4"/>
  <c r="S10"/>
  <c r="S9" s="1"/>
  <c r="O9"/>
  <c r="T10"/>
  <c r="T9" s="1"/>
  <c r="D10"/>
  <c r="M10"/>
  <c r="M9" s="1"/>
  <c r="D9" l="1"/>
  <c r="C9" s="1"/>
  <c r="C10"/>
</calcChain>
</file>

<file path=xl/comments1.xml><?xml version="1.0" encoding="utf-8"?>
<comments xmlns="http://schemas.openxmlformats.org/spreadsheetml/2006/main">
  <authors>
    <author>nguyenvonhathang</author>
  </authors>
  <commentList>
    <comment ref="M104" authorId="0">
      <text>
        <r>
          <rPr>
            <b/>
            <sz val="9"/>
            <color indexed="81"/>
            <rFont val="Tahoma"/>
            <family val="2"/>
          </rPr>
          <t>nguyenvonhathang:</t>
        </r>
        <r>
          <rPr>
            <sz val="9"/>
            <color indexed="81"/>
            <rFont val="Tahoma"/>
            <family val="2"/>
          </rPr>
          <t xml:space="preserve">
nhiệm vụ chi TWBS
</t>
        </r>
      </text>
    </comment>
    <comment ref="R112" authorId="0">
      <text>
        <r>
          <rPr>
            <b/>
            <sz val="9"/>
            <color indexed="81"/>
            <rFont val="Tahoma"/>
            <family val="2"/>
          </rPr>
          <t>nguyenvonhathang:</t>
        </r>
        <r>
          <rPr>
            <sz val="9"/>
            <color indexed="81"/>
            <rFont val="Tahoma"/>
            <family val="2"/>
          </rPr>
          <t xml:space="preserve">
Nhiệm vụ chi TW</t>
        </r>
      </text>
    </comment>
  </commentList>
</comments>
</file>

<file path=xl/sharedStrings.xml><?xml version="1.0" encoding="utf-8"?>
<sst xmlns="http://schemas.openxmlformats.org/spreadsheetml/2006/main" count="377" uniqueCount="178">
  <si>
    <t>HỘI ĐỒNG NHÂN DÂN</t>
  </si>
  <si>
    <t>CỘNG HOÀ XÃ HỘI CHỦ NGHĨA VIỆT NAM</t>
  </si>
  <si>
    <t xml:space="preserve">      TỈNH BẾN TRE</t>
  </si>
  <si>
    <t>Độc lập - Tự do - Hạnh phúc</t>
  </si>
  <si>
    <t>PHỤ LỤC V</t>
  </si>
  <si>
    <t>DỰ TOÁN CHI THƯỜNG XUYÊN CỦA NGÂN SÁCH CẤP TỈNH</t>
  </si>
  <si>
    <t>Đơn vị: Triệu đồng</t>
  </si>
  <si>
    <t>STT</t>
  </si>
  <si>
    <t>Tên đơn vị</t>
  </si>
  <si>
    <t>Tổng số</t>
  </si>
  <si>
    <t xml:space="preserve"> Chi giáo dục - đào tạo và dạy nghề</t>
  </si>
  <si>
    <t xml:space="preserve"> Chi khoa học và công nghệ</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</si>
  <si>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</si>
  <si>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</si>
  <si>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</si>
  <si>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</si>
  <si>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</si>
  <si>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</si>
  <si>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</si>
  <si>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</si>
  <si>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Trong đó</t>
  </si>
  <si>
    <t>Chi bảo đảm xã hội</t>
  </si>
  <si>
    <t>Chi thường xuyên khác</t>
  </si>
  <si>
    <t>Chi giao thông</t>
  </si>
  <si>
    <t>Chi nông nghiệp, lâm nghiệp, thủy lợi, thủy sản</t>
  </si>
  <si>
    <t>A</t>
  </si>
  <si>
    <t>B</t>
  </si>
  <si>
    <t>TỔNG SỐ</t>
  </si>
  <si>
    <t>I</t>
  </si>
  <si>
    <t>Các đơn vị, cơ quan, tổ chức cấp tỉnh</t>
  </si>
  <si>
    <t>Khối Đảng tỉnh</t>
  </si>
  <si>
    <t>Văn phòng UBND tỉnh</t>
  </si>
  <si>
    <t>VP HĐND tỉnh</t>
  </si>
  <si>
    <t>Sở Tài chính</t>
  </si>
  <si>
    <t>Sở Tài nguyên và Môi trường và các đơn vị trực thuộc</t>
  </si>
  <si>
    <t>Sở Nông nghiệp và các đơn vị trực thuộc</t>
  </si>
  <si>
    <t>Sở Tư Pháp và các đơn vị trực thuộc</t>
  </si>
  <si>
    <t>Sở Giáo dục và Đào tạo</t>
  </si>
  <si>
    <t>Sở Xây dựng</t>
  </si>
  <si>
    <t>Sở Thông tin và truyền thông</t>
  </si>
  <si>
    <t>Sở Lao động TB và Xã hội</t>
  </si>
  <si>
    <t>Sở Kế hoạch và Đầu tư</t>
  </si>
  <si>
    <t xml:space="preserve">Sở Y tế và các đơn vị trực thuộc </t>
  </si>
  <si>
    <t>Thanh tra tỉnh</t>
  </si>
  <si>
    <t xml:space="preserve">Sở Giao thông Vận tải  và các đơn vị trực thuộc </t>
  </si>
  <si>
    <t>Sở Văn hoá, Thể thao và Du Lịch</t>
  </si>
  <si>
    <t>Sở Công thương</t>
  </si>
  <si>
    <t xml:space="preserve">Sở Nội vụ và các đơn vị trực thuộc </t>
  </si>
  <si>
    <t>Sở Khoa học và Công nghệ</t>
  </si>
  <si>
    <t>Ban QL các Khu công nghiệp</t>
  </si>
  <si>
    <t>Ban an toàn giao thông</t>
  </si>
  <si>
    <t>Đài Phát thanh - Truyền hình</t>
  </si>
  <si>
    <t>Uỷ ban Mặt trận tổ quốc</t>
  </si>
  <si>
    <t>Hội Liên hiệp phụ nữ tỉnh</t>
  </si>
  <si>
    <t>Hội Nông dân</t>
  </si>
  <si>
    <t>Hội Cựu chiến binh</t>
  </si>
  <si>
    <t>Trường Cao đẳng Bến Tre</t>
  </si>
  <si>
    <t>Trường Chính trị</t>
  </si>
  <si>
    <t>Bộ chỉ huy Quân sự tỉnh</t>
  </si>
  <si>
    <t>Bộ chỉ huy Biên phòng tỉnh</t>
  </si>
  <si>
    <t>Công an tỉnh</t>
  </si>
  <si>
    <t>Hội văn học nghệ thuật Nguyễn Đình Chiểu</t>
  </si>
  <si>
    <t>Liên hiệp các tổ chức hữu nghị</t>
  </si>
  <si>
    <t>Tỉnh hội Đông y</t>
  </si>
  <si>
    <t>Hội Chữ thập đỏ</t>
  </si>
  <si>
    <t>Hội người mù</t>
  </si>
  <si>
    <t>Liên minh các Hợp tác xã</t>
  </si>
  <si>
    <t>Liên hiệp các hội KH &amp; kỹ thuật</t>
  </si>
  <si>
    <t>Hội nhà báo</t>
  </si>
  <si>
    <t>Hội Luật gia</t>
  </si>
  <si>
    <t>Hội Khuyến học</t>
  </si>
  <si>
    <t>Hội nạn nhân chất độc da cam</t>
  </si>
  <si>
    <t>Hội Cựu thanh niên xung phong</t>
  </si>
  <si>
    <t>Hội Sinh vật cảnh</t>
  </si>
  <si>
    <t>Hội Người cao tuổi</t>
  </si>
  <si>
    <t>Hội người tiêu dùng</t>
  </si>
  <si>
    <t>Hội cựu giáo chức</t>
  </si>
  <si>
    <t>Hiệp hội dừa</t>
  </si>
  <si>
    <t>II</t>
  </si>
  <si>
    <t>Các nội dung chi thực hiện một số nhiệm vụ khác</t>
  </si>
  <si>
    <t>Mở các lớp đào tạo để nâng cao nghiệp vụ chuyên môn của các đơn vị</t>
  </si>
  <si>
    <t>Kinh phí thi nâng ngạch, thi tuyển</t>
  </si>
  <si>
    <t>Đào tạo theo dự án 50 tiến sĩ, thạc sĩ</t>
  </si>
  <si>
    <t>Trợ cấp đào tạo  thu hút theo NQ16</t>
  </si>
  <si>
    <t>BHYT cho các đối tượng BTXH</t>
  </si>
  <si>
    <t>BHYT cho trẻ em dưới 6 tuổi</t>
  </si>
  <si>
    <t>BHYT cho người nghèo, dân tộc thiểu số vùng khó khăn; người đang sinh sống tại vùng đặc biệt khó khăn, xã, đảo, huyện đảo</t>
  </si>
  <si>
    <t>Kinh phí BHYT cho cựu chiến binh, cựu thanh niên xung phong, đối tượng tham gia kháng chiến Lào, Campuchia</t>
  </si>
  <si>
    <t>Hỗ trợ mai táng phí, BHYT theo QĐ 62, 290, 49/QĐ-TTg</t>
  </si>
  <si>
    <t>Trợ cấp cán bộ xã nghỉ việc theo NQ 16/2016/NQ-HĐND</t>
  </si>
  <si>
    <t>Đối ứng dự án AMD</t>
  </si>
  <si>
    <t>Dự án Bò sữa</t>
  </si>
  <si>
    <t>Thuỷ lợi phí</t>
  </si>
  <si>
    <t>Kinh phí phòng chống lụt bão và các nhiệm vụ chi khác</t>
  </si>
  <si>
    <t>Công tác quản lý tiện ích hạ tầng và xử lý nước thải trong các khu CN</t>
  </si>
  <si>
    <t>Vốn cho vay uỷ thác NHCSXH</t>
  </si>
  <si>
    <t>Chi hoạt động thăm chúc tết và hỗ trợ tiền tết cho các đối tượng chính sách, cán bộ hưu trí và lực lượng an ninh, quốc phòng</t>
  </si>
  <si>
    <t>Chi khác ngân sách</t>
  </si>
  <si>
    <t>Trang phục công an, quân sự</t>
  </si>
  <si>
    <t>Chi hỗ trợ BHYT và phụ cấp tăng thêm của lực lượng công an viên, dân quân thường trực, đội trưởng ấp, khu phố</t>
  </si>
  <si>
    <t>Chi hoạt động của cơ quan QLNN, đảng, đoàn thể</t>
  </si>
  <si>
    <t>CHỦ TỊCH</t>
  </si>
  <si>
    <t>Võ Thành Hạo</t>
  </si>
  <si>
    <t>Trang bị hệ thống PCCC các trường THPT</t>
  </si>
  <si>
    <t>Hỗ trợ phân hiệu đại học quốc gia</t>
  </si>
  <si>
    <t>Kinh phí đào tạo nguồn cán bộ quy hoạch các cấp theo đề án của Tỉnh ủy</t>
  </si>
  <si>
    <t>Tỉnh Đoàn TNCS Hồ Chí Minh và các đơn vị trực thuộc</t>
  </si>
  <si>
    <t>Tiền lễ 27/7 đối tượng chính sách</t>
  </si>
  <si>
    <t>Chi trợ cấp TNXP, mai táng phí CCB</t>
  </si>
  <si>
    <t>Trang bị phương tiện phòng cháy, chữa cháy cho lực lượng dân phòng xã, phường, thị trấn đô thị loại V</t>
  </si>
  <si>
    <t>Trang bị cho lực lượng bảo vệ dân phố</t>
  </si>
  <si>
    <t>Quỹ phòng chống tội phạm</t>
  </si>
  <si>
    <t>Hạng mục thoát nước</t>
  </si>
  <si>
    <t>Kiến thiết thị chính (02 huyện)</t>
  </si>
  <si>
    <t>CHO  TỪNG CƠ QUAN, TỔ CHỨC THEO LĨNH VỰC NĂM 2019</t>
  </si>
  <si>
    <t>Tiết kiệm 10%</t>
  </si>
  <si>
    <t>Trích từ nguồn thu</t>
  </si>
  <si>
    <t>Trong đó:</t>
  </si>
  <si>
    <t>Kinh phí xã bãi ngang tăng thêm và sự nghiệp nông nghiệp</t>
  </si>
  <si>
    <t>Kinh phí BHYT cho HS,SV</t>
  </si>
  <si>
    <t>(Kèm theo Tò trình sô         -TTr/BCSĐ ngày      tháng 11 năm 2018 của Ban Cán sự Đảng Ủy ban nhân dân tỉnh)</t>
  </si>
  <si>
    <t>(Kèm theo Tờ trình số            /TTr-UBND ngày      tháng 11 năm 2018 của Ủy ban nhân dân tỉnh Bến Tre)</t>
  </si>
  <si>
    <t>CHO  TỪNG CƠ QUAN, TỔ CHỨC THEO LĨNH VỰC NĂM 2020</t>
  </si>
  <si>
    <t>Văn phòng điều phối CTMTQG XDNTM</t>
  </si>
  <si>
    <t>Thu thập thông tin ghi chép ký ức trong tù và xây dựng tập kỷ yếu về "Những chiến sĩ CMVN ở Bến Tre bị địch bắt tù đày"</t>
  </si>
  <si>
    <t>Kinh phí phục vụ công tác tổ chức lựa chọn nhà thầu đối với các gói thầu mua sắm tập trung, mua sắm từ nguồn vốn thường xuyên của Ban QLDA ĐTXD các công trình dân dụng và công nghiệp do nhà nước giao nhiệm vụ</t>
  </si>
  <si>
    <t>Quỹ hỗ trợ nông dân tỉnh Bến Tre</t>
  </si>
  <si>
    <t>Vốn đối ứng dự án WOBA</t>
  </si>
  <si>
    <t>Tiếng hát hoa phượng đỏ</t>
  </si>
  <si>
    <t>Sở Lao động - Thương binh và Xã hội</t>
  </si>
  <si>
    <t>Mở các lớp nồi dưỡng, nâng cao chuyên môn, nghiệp vụ</t>
  </si>
  <si>
    <t>Kinh phí thi tuyển, nâng ngạch</t>
  </si>
  <si>
    <t>Trợ cấp thu hút đào tạo</t>
  </si>
  <si>
    <t>Kinh phí đào tạo Nghị quyết 19/2019/NQ-HĐND</t>
  </si>
  <si>
    <t>BHYT cho các đối tượng bảo trợ xã hội</t>
  </si>
  <si>
    <t>BHYT cho người nghèo, dân tộc thiểu số vùng khó khăn, người đang sinh sống tại vùng ĐBKK, xã đảo, huyện đảo</t>
  </si>
  <si>
    <t>BHYT cho học sinh, sinh viên</t>
  </si>
  <si>
    <t>BHYT cho cựu chiến binh, cựu TNXP, đối tượng tham gia kháng chiến Lào, Campuchia</t>
  </si>
  <si>
    <t>Mai táng phí,, BHYT cho các đối tượng thao Quyết định 62, 290, 49, 150</t>
  </si>
  <si>
    <t>Vốn cho vay ủy thác Ngân hàng chính sách xã hội</t>
  </si>
  <si>
    <t>Hạng  mục thoát nước</t>
  </si>
  <si>
    <t>Thủy lợi phí</t>
  </si>
  <si>
    <t>Nâng cấp đô thị loại V</t>
  </si>
  <si>
    <t>Sự nghiệp kinh tế khác</t>
  </si>
  <si>
    <t>Sự nghiệp môi trường khác</t>
  </si>
  <si>
    <t>Kinh phí xử lý môi trường 03 bãi rác Phú Hưng, Bình Đại, Thạnh Phú</t>
  </si>
  <si>
    <t>Đối ứng kinh phí cả tạo hạ tầng khu nghỉ dưỡng Mỹ An</t>
  </si>
  <si>
    <t>Kinh phí giải quyết nghỉ việc cho CBCC, không chuyên trách cấp xã, ấp dôi dư do sắp xếp lại theo Nghị định 34/2019/NĐ-CP</t>
  </si>
  <si>
    <t>Đối ứng kinh phí CTMT công nghệ thông tin</t>
  </si>
  <si>
    <t>Kinh phí hạ tầng CNTT phục vụ xây dựng chính quyền điện tử</t>
  </si>
  <si>
    <t>Kinh phí nâng cấp, bảo trì hệ thống thông tin đất đai</t>
  </si>
  <si>
    <t>Kinh phí phòng chống dich bệnh thường niên</t>
  </si>
  <si>
    <t>Chính sách trên lĩnh vực nông nghiệp</t>
  </si>
  <si>
    <t>Kinh phí thực hiện các công trình đã có chủ trương lĩnh vực nông nghiệp</t>
  </si>
  <si>
    <t>Tiền tết và hoạt động thăm chúc tết</t>
  </si>
  <si>
    <t>Trích phạt vi phạm hành chính</t>
  </si>
  <si>
    <t>Kinh phí mua trang cụ quân khí</t>
  </si>
  <si>
    <t>Chính sách phát triển du lịch cộng đồng</t>
  </si>
  <si>
    <t>Kinh phí phục vụ các ngày lễ lớn và hoạt động chào mừng Đại hội Đảng các cấp</t>
  </si>
  <si>
    <t>Phòng chống lụt bão, cứu nạn cứu hộ</t>
  </si>
  <si>
    <t>Kinh phí hoạt động BCĐ 689</t>
  </si>
  <si>
    <t>Trang bị phương tiện PCCC cho lực lượng dân phòng xã, phường, thị trấn đô thị loại V</t>
  </si>
  <si>
    <t>Mua sắm trang phục và công cụ hỗ trợ lực lượng bảo vệ dân phố</t>
  </si>
  <si>
    <t>Chi hỗ trợ BHYT cho lực lượng công an viên, dân quân thường trực, dân quân, đội trưởng</t>
  </si>
  <si>
    <t>Giáo dục, đào tạo khác</t>
  </si>
  <si>
    <t>Kinh phí diến tập khu vực phòng thủ 02 huyện</t>
  </si>
  <si>
    <t>Kinh phí nghỉ việc theo Nghị quyết 16/2015/NQ-HĐND</t>
  </si>
  <si>
    <t>Hỗ trợ xây dựng đường tuần tra kết hợp đường dân sinh</t>
  </si>
  <si>
    <t>Duy tu, bảo dưỡng và xử lý nước thải khu công nghiệp</t>
  </si>
  <si>
    <t>Chi hỗ trợ dịch bệnh, chi hỗ trợ các bệnh việc khi nguồn thu không đảm bảo chi và chi một số nhiệm vụ khác thuộc lĩnh vực y tế</t>
  </si>
  <si>
    <t>Tăng cường cơ sở vật chất các trường học</t>
  </si>
  <si>
    <t>giảm biên chế 2019 so 2018 235 biên chế sngd 17 ty</t>
  </si>
  <si>
    <t>Kinh phí thực hiện Nghị định 57/2018/NĐ-CP</t>
  </si>
  <si>
    <t>Phụ cấp các xã có điều kiện kinh tế đặc biệt khó khăn</t>
  </si>
  <si>
    <t>ỦY BAN NHÂN DÂN</t>
  </si>
  <si>
    <t xml:space="preserve">    TỈNH BẾN TRE</t>
  </si>
  <si>
    <t>Biểu số 53/CK-NSNN</t>
  </si>
  <si>
    <t>(Kèm theo Quyết định số  3009/QĐ-UBND ngày 31 tháng 12 năm 2019 của Uỷ ban nhân dân tỉnh)</t>
  </si>
</sst>
</file>

<file path=xl/styles.xml><?xml version="1.0" encoding="utf-8"?>
<styleSheet xmlns="http://schemas.openxmlformats.org/spreadsheetml/2006/main">
  <numFmts count="2">
    <numFmt numFmtId="164" formatCode="#,##0_ ;\-#,##0\ "/>
    <numFmt numFmtId="165" formatCode="_-* #,##0_-;\-* #,##0_-;_-* &quot;-&quot;_-;_-@"/>
  </numFmts>
  <fonts count="18">
    <font>
      <sz val="11"/>
      <color theme="1"/>
      <name val="Calibri"/>
      <family val="2"/>
      <charset val="163"/>
      <scheme val="minor"/>
    </font>
    <font>
      <b/>
      <sz val="14"/>
      <name val="Times New Roman"/>
      <family val="1"/>
    </font>
    <font>
      <sz val="12"/>
      <name val="Times New Roman"/>
      <family val="1"/>
    </font>
    <font>
      <b/>
      <sz val="12"/>
      <name val="Times New Roman"/>
      <family val="1"/>
    </font>
    <font>
      <i/>
      <sz val="13"/>
      <name val="Times New Roman"/>
      <family val="1"/>
    </font>
    <font>
      <sz val="14"/>
      <name val="Times New Roman"/>
      <family val="1"/>
    </font>
    <font>
      <sz val="13"/>
      <name val="Times New Roman"/>
      <family val="1"/>
    </font>
    <font>
      <b/>
      <sz val="11"/>
      <name val="Times New Roman"/>
      <family val="1"/>
    </font>
    <font>
      <b/>
      <sz val="15"/>
      <name val="Times New Roman"/>
      <family val="1"/>
    </font>
    <font>
      <sz val="15"/>
      <name val="Times New Roman"/>
      <family val="1"/>
    </font>
    <font>
      <b/>
      <sz val="13"/>
      <name val="Times New Roman"/>
      <family val="1"/>
    </font>
    <font>
      <b/>
      <u/>
      <sz val="13"/>
      <name val="Times New Roman"/>
      <family val="1"/>
    </font>
    <font>
      <sz val="13"/>
      <color rgb="FF000000"/>
      <name val="Times New Roman"/>
      <family val="1"/>
    </font>
    <font>
      <sz val="13"/>
      <color rgb="FFFF0000"/>
      <name val="Times New Roman"/>
      <family val="1"/>
    </font>
    <font>
      <sz val="11"/>
      <name val="Calibri"/>
      <family val="2"/>
      <charset val="163"/>
      <scheme val="minor"/>
    </font>
    <font>
      <sz val="9"/>
      <color indexed="81"/>
      <name val="Tahoma"/>
      <family val="2"/>
    </font>
    <font>
      <b/>
      <sz val="9"/>
      <color indexed="81"/>
      <name val="Tahoma"/>
      <family val="2"/>
    </font>
    <font>
      <b/>
      <u/>
      <sz val="14"/>
      <name val="Times New Roman"/>
      <family val="1"/>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hair">
        <color rgb="FF000000"/>
      </top>
      <bottom style="thin">
        <color indexed="64"/>
      </bottom>
      <diagonal/>
    </border>
  </borders>
  <cellStyleXfs count="1">
    <xf numFmtId="0" fontId="0" fillId="0" borderId="0"/>
  </cellStyleXfs>
  <cellXfs count="66">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xf numFmtId="0" fontId="1" fillId="0" borderId="0" xfId="0" applyFont="1" applyAlignment="1">
      <alignment vertical="center"/>
    </xf>
    <xf numFmtId="0" fontId="1"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center" vertical="center"/>
    </xf>
    <xf numFmtId="0" fontId="3" fillId="0" borderId="0" xfId="0" applyFont="1" applyAlignment="1">
      <alignment horizontal="left" vertical="center"/>
    </xf>
    <xf numFmtId="0" fontId="2" fillId="0" borderId="0" xfId="0" applyFont="1"/>
    <xf numFmtId="0" fontId="5" fillId="0" borderId="0" xfId="0" applyFont="1" applyAlignment="1"/>
    <xf numFmtId="0" fontId="6" fillId="0" borderId="0" xfId="0" applyFont="1" applyAlignment="1"/>
    <xf numFmtId="0" fontId="7" fillId="0" borderId="0" xfId="0" applyFont="1" applyAlignment="1">
      <alignment vertical="center"/>
    </xf>
    <xf numFmtId="0" fontId="9" fillId="0" borderId="0" xfId="0" applyFont="1" applyAlignment="1"/>
    <xf numFmtId="0" fontId="0" fillId="0" borderId="0" xfId="0" applyFont="1" applyAlignment="1"/>
    <xf numFmtId="0" fontId="10" fillId="0" borderId="9"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1" fillId="0" borderId="5" xfId="0" applyFont="1" applyBorder="1" applyAlignment="1">
      <alignment horizontal="center" vertical="center"/>
    </xf>
    <xf numFmtId="0" fontId="10" fillId="0" borderId="6" xfId="0" applyFont="1" applyBorder="1" applyAlignment="1">
      <alignment horizontal="left" vertical="center"/>
    </xf>
    <xf numFmtId="49" fontId="11" fillId="0" borderId="6" xfId="0" applyNumberFormat="1" applyFont="1" applyBorder="1" applyAlignment="1">
      <alignment horizontal="center" vertical="center"/>
    </xf>
    <xf numFmtId="164" fontId="11" fillId="0" borderId="7" xfId="0" applyNumberFormat="1" applyFont="1" applyBorder="1" applyAlignment="1">
      <alignment horizontal="right" vertical="center"/>
    </xf>
    <xf numFmtId="0" fontId="10" fillId="0" borderId="7" xfId="0" applyFont="1" applyBorder="1" applyAlignment="1">
      <alignment horizontal="center" vertical="center"/>
    </xf>
    <xf numFmtId="0" fontId="10" fillId="0" borderId="7" xfId="0" applyFont="1" applyBorder="1" applyAlignment="1">
      <alignment horizontal="justify" vertical="center" wrapText="1"/>
    </xf>
    <xf numFmtId="165" fontId="10" fillId="0" borderId="7" xfId="0" applyNumberFormat="1" applyFont="1" applyBorder="1" applyAlignment="1">
      <alignment horizontal="left" vertical="center"/>
    </xf>
    <xf numFmtId="0" fontId="6" fillId="0" borderId="7" xfId="0" applyFont="1" applyBorder="1" applyAlignment="1">
      <alignment horizontal="center" vertical="center"/>
    </xf>
    <xf numFmtId="0" fontId="6" fillId="0" borderId="7" xfId="0" applyFont="1" applyBorder="1" applyAlignment="1">
      <alignment horizontal="justify" vertical="center" wrapText="1"/>
    </xf>
    <xf numFmtId="165" fontId="6" fillId="0" borderId="7" xfId="0" applyNumberFormat="1" applyFont="1" applyBorder="1" applyAlignment="1">
      <alignment horizontal="left" vertical="center"/>
    </xf>
    <xf numFmtId="165" fontId="6" fillId="0" borderId="7" xfId="0" applyNumberFormat="1" applyFont="1" applyBorder="1" applyAlignment="1">
      <alignment vertical="center"/>
    </xf>
    <xf numFmtId="0" fontId="6" fillId="0" borderId="7" xfId="0" applyFont="1" applyBorder="1" applyAlignment="1">
      <alignment horizontal="justify" wrapText="1"/>
    </xf>
    <xf numFmtId="165" fontId="10" fillId="0" borderId="7" xfId="0" applyNumberFormat="1" applyFont="1" applyBorder="1" applyAlignment="1">
      <alignment vertical="center"/>
    </xf>
    <xf numFmtId="0" fontId="12" fillId="0" borderId="7" xfId="0" applyFont="1" applyBorder="1" applyAlignment="1">
      <alignment horizontal="justify" vertical="center" wrapText="1"/>
    </xf>
    <xf numFmtId="0" fontId="6" fillId="0" borderId="8" xfId="0" applyFont="1" applyBorder="1" applyAlignment="1">
      <alignment horizontal="justify" wrapText="1"/>
    </xf>
    <xf numFmtId="165" fontId="6" fillId="0" borderId="8" xfId="0" applyNumberFormat="1" applyFont="1" applyBorder="1" applyAlignment="1">
      <alignment horizontal="left" vertical="center"/>
    </xf>
    <xf numFmtId="165" fontId="6" fillId="0" borderId="8" xfId="0" applyNumberFormat="1" applyFont="1" applyBorder="1" applyAlignment="1">
      <alignment vertical="center"/>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165" fontId="13" fillId="0" borderId="7" xfId="0" applyNumberFormat="1" applyFont="1" applyFill="1" applyBorder="1" applyAlignment="1">
      <alignment vertical="center"/>
    </xf>
    <xf numFmtId="165" fontId="6" fillId="0" borderId="7" xfId="0" applyNumberFormat="1" applyFont="1" applyFill="1" applyBorder="1" applyAlignment="1">
      <alignment vertical="center"/>
    </xf>
    <xf numFmtId="0" fontId="14" fillId="0" borderId="0" xfId="0" applyFont="1" applyAlignment="1"/>
    <xf numFmtId="0" fontId="6" fillId="0" borderId="12" xfId="0" applyFont="1" applyBorder="1" applyAlignment="1">
      <alignment horizontal="center" vertical="center"/>
    </xf>
    <xf numFmtId="165" fontId="6" fillId="0" borderId="12" xfId="0" applyNumberFormat="1" applyFont="1" applyBorder="1" applyAlignment="1">
      <alignment horizontal="left" vertical="center"/>
    </xf>
    <xf numFmtId="165" fontId="6" fillId="0" borderId="12" xfId="0" applyNumberFormat="1" applyFont="1" applyBorder="1" applyAlignment="1">
      <alignment vertical="center"/>
    </xf>
    <xf numFmtId="0" fontId="10" fillId="0" borderId="7" xfId="0" applyFont="1" applyBorder="1" applyAlignment="1">
      <alignment horizontal="left" vertical="center" wrapText="1"/>
    </xf>
    <xf numFmtId="0" fontId="6" fillId="0" borderId="12" xfId="0" applyFont="1" applyBorder="1" applyAlignment="1">
      <alignment horizontal="justify" vertical="center" wrapText="1"/>
    </xf>
    <xf numFmtId="0" fontId="10" fillId="0" borderId="0" xfId="0" applyFont="1" applyAlignment="1">
      <alignment horizontal="left" vertical="center"/>
    </xf>
    <xf numFmtId="0" fontId="10" fillId="0" borderId="0" xfId="0" applyFont="1" applyAlignment="1"/>
    <xf numFmtId="0" fontId="17" fillId="0" borderId="0" xfId="0" applyFont="1" applyAlignment="1"/>
    <xf numFmtId="0" fontId="3" fillId="0" borderId="0" xfId="0" applyFont="1" applyAlignment="1">
      <alignment horizontal="right"/>
    </xf>
    <xf numFmtId="0" fontId="10" fillId="0" borderId="1" xfId="0" applyFont="1" applyBorder="1" applyAlignment="1">
      <alignment horizontal="center" vertical="center" wrapText="1"/>
    </xf>
    <xf numFmtId="0" fontId="6" fillId="0" borderId="4" xfId="0" applyFont="1" applyBorder="1"/>
    <xf numFmtId="0" fontId="1" fillId="0" borderId="0" xfId="0" applyFont="1" applyAlignment="1">
      <alignment horizontal="center" vertical="center"/>
    </xf>
    <xf numFmtId="0" fontId="4" fillId="0" borderId="0" xfId="0" applyFont="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11" xfId="0" applyFont="1" applyBorder="1"/>
    <xf numFmtId="0" fontId="10" fillId="0" borderId="2" xfId="0" applyFont="1" applyBorder="1" applyAlignment="1">
      <alignment horizontal="center" vertical="center" wrapText="1"/>
    </xf>
    <xf numFmtId="0" fontId="6" fillId="0" borderId="3" xfId="0" applyFont="1" applyBorder="1"/>
    <xf numFmtId="0" fontId="10" fillId="0" borderId="0" xfId="0" applyFont="1" applyAlignment="1">
      <alignment horizontal="center" vertical="center"/>
    </xf>
    <xf numFmtId="0" fontId="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970"/>
  <sheetViews>
    <sheetView zoomScale="70" zoomScaleNormal="70" workbookViewId="0">
      <selection activeCell="A4" sqref="A4:T4"/>
    </sheetView>
  </sheetViews>
  <sheetFormatPr defaultColWidth="12.85546875" defaultRowHeight="15"/>
  <cols>
    <col min="1" max="1" width="5.85546875" style="15" customWidth="1"/>
    <col min="2" max="2" width="39.7109375" style="15" customWidth="1"/>
    <col min="3" max="3" width="13.140625" style="15" customWidth="1"/>
    <col min="4" max="4" width="11.28515625" style="15" customWidth="1"/>
    <col min="5" max="5" width="10.140625" style="15" customWidth="1"/>
    <col min="6" max="6" width="9.85546875" style="15" customWidth="1"/>
    <col min="7" max="7" width="10" style="15" customWidth="1"/>
    <col min="8" max="8" width="11.7109375" style="15" customWidth="1"/>
    <col min="9" max="9" width="10" style="15" customWidth="1"/>
    <col min="10" max="12" width="9.85546875" style="15" customWidth="1"/>
    <col min="13" max="13" width="10.7109375" style="15" customWidth="1"/>
    <col min="14" max="14" width="10.42578125" style="15" customWidth="1"/>
    <col min="15" max="15" width="11" style="15" customWidth="1"/>
    <col min="16" max="16" width="11.42578125" style="15" customWidth="1"/>
    <col min="17" max="17" width="10" style="15" customWidth="1"/>
    <col min="18" max="18" width="10.140625" style="15" customWidth="1"/>
    <col min="19" max="19" width="10" style="15" customWidth="1"/>
    <col min="20" max="28" width="10.28515625" style="15" customWidth="1"/>
    <col min="29" max="16384" width="12.85546875" style="15"/>
  </cols>
  <sheetData>
    <row r="1" spans="1:28" ht="18.75" customHeight="1">
      <c r="A1" s="55" t="s">
        <v>4</v>
      </c>
      <c r="B1" s="55"/>
      <c r="C1" s="55"/>
      <c r="D1" s="55"/>
      <c r="E1" s="55"/>
      <c r="F1" s="55"/>
      <c r="G1" s="55"/>
      <c r="H1" s="55"/>
      <c r="I1" s="55"/>
      <c r="J1" s="55"/>
      <c r="K1" s="55"/>
      <c r="L1" s="55"/>
      <c r="M1" s="55"/>
      <c r="N1" s="55"/>
      <c r="O1" s="55"/>
      <c r="P1" s="55"/>
      <c r="Q1" s="55"/>
      <c r="R1" s="55"/>
      <c r="S1" s="55"/>
      <c r="T1" s="55"/>
      <c r="U1" s="4"/>
      <c r="V1" s="4"/>
      <c r="W1" s="3"/>
      <c r="X1" s="3"/>
      <c r="Y1" s="3"/>
      <c r="Z1" s="3"/>
      <c r="AA1" s="3"/>
      <c r="AB1" s="3"/>
    </row>
    <row r="2" spans="1:28" ht="21" customHeight="1">
      <c r="A2" s="55" t="s">
        <v>5</v>
      </c>
      <c r="B2" s="55"/>
      <c r="C2" s="55"/>
      <c r="D2" s="55"/>
      <c r="E2" s="55"/>
      <c r="F2" s="55"/>
      <c r="G2" s="55"/>
      <c r="H2" s="55"/>
      <c r="I2" s="55"/>
      <c r="J2" s="55"/>
      <c r="K2" s="55"/>
      <c r="L2" s="55"/>
      <c r="M2" s="55"/>
      <c r="N2" s="55"/>
      <c r="O2" s="55"/>
      <c r="P2" s="55"/>
      <c r="Q2" s="55"/>
      <c r="R2" s="55"/>
      <c r="S2" s="55"/>
      <c r="T2" s="55"/>
      <c r="U2" s="3"/>
      <c r="V2" s="3"/>
      <c r="W2" s="3"/>
      <c r="X2" s="3"/>
      <c r="Y2" s="3"/>
      <c r="Z2" s="3"/>
      <c r="AA2" s="3"/>
      <c r="AB2" s="3"/>
    </row>
    <row r="3" spans="1:28" ht="20.25" customHeight="1">
      <c r="A3" s="55" t="s">
        <v>114</v>
      </c>
      <c r="B3" s="55"/>
      <c r="C3" s="55"/>
      <c r="D3" s="55"/>
      <c r="E3" s="55"/>
      <c r="F3" s="55"/>
      <c r="G3" s="55"/>
      <c r="H3" s="55"/>
      <c r="I3" s="55"/>
      <c r="J3" s="55"/>
      <c r="K3" s="55"/>
      <c r="L3" s="55"/>
      <c r="M3" s="55"/>
      <c r="N3" s="55"/>
      <c r="O3" s="55"/>
      <c r="P3" s="55"/>
      <c r="Q3" s="55"/>
      <c r="R3" s="55"/>
      <c r="S3" s="55"/>
      <c r="T3" s="55"/>
      <c r="U3" s="3"/>
      <c r="V3" s="3"/>
      <c r="W3" s="3"/>
      <c r="X3" s="3"/>
      <c r="Y3" s="3"/>
      <c r="Z3" s="3"/>
      <c r="AA3" s="3"/>
      <c r="AB3" s="3"/>
    </row>
    <row r="4" spans="1:28" ht="20.25" customHeight="1">
      <c r="A4" s="56" t="s">
        <v>120</v>
      </c>
      <c r="B4" s="56"/>
      <c r="C4" s="56"/>
      <c r="D4" s="56"/>
      <c r="E4" s="56"/>
      <c r="F4" s="56"/>
      <c r="G4" s="56"/>
      <c r="H4" s="56"/>
      <c r="I4" s="56"/>
      <c r="J4" s="56"/>
      <c r="K4" s="56"/>
      <c r="L4" s="56"/>
      <c r="M4" s="56"/>
      <c r="N4" s="56"/>
      <c r="O4" s="56"/>
      <c r="P4" s="56"/>
      <c r="Q4" s="56"/>
      <c r="R4" s="56"/>
      <c r="S4" s="56"/>
      <c r="T4" s="56"/>
      <c r="U4" s="3"/>
      <c r="V4" s="3"/>
      <c r="W4" s="3"/>
      <c r="X4" s="3"/>
      <c r="Y4" s="3"/>
      <c r="Z4" s="3"/>
      <c r="AA4" s="3"/>
      <c r="AB4" s="3"/>
    </row>
    <row r="5" spans="1:28" ht="19.5" customHeight="1">
      <c r="A5" s="17"/>
      <c r="B5" s="17"/>
      <c r="C5" s="12"/>
      <c r="D5" s="12"/>
      <c r="E5" s="12"/>
      <c r="F5" s="12"/>
      <c r="G5" s="18"/>
      <c r="H5" s="18"/>
      <c r="I5" s="18"/>
      <c r="J5" s="18"/>
      <c r="K5" s="18"/>
      <c r="L5" s="18"/>
      <c r="M5" s="18"/>
      <c r="N5" s="18"/>
      <c r="O5" s="18"/>
      <c r="P5" s="18"/>
      <c r="Q5" s="18"/>
      <c r="S5" s="12"/>
      <c r="T5" s="19" t="s">
        <v>6</v>
      </c>
      <c r="U5" s="3"/>
      <c r="V5" s="3"/>
      <c r="W5" s="3"/>
      <c r="X5" s="3"/>
      <c r="Y5" s="3"/>
      <c r="Z5" s="3"/>
      <c r="AA5" s="3"/>
      <c r="AB5" s="3"/>
    </row>
    <row r="6" spans="1:28" ht="30" customHeight="1">
      <c r="A6" s="53" t="s">
        <v>7</v>
      </c>
      <c r="B6" s="57" t="s">
        <v>8</v>
      </c>
      <c r="C6" s="58" t="s">
        <v>9</v>
      </c>
      <c r="D6" s="53" t="s">
        <v>10</v>
      </c>
      <c r="E6" s="53" t="s">
        <v>11</v>
      </c>
      <c r="F6" s="53" t="s">
        <v>12</v>
      </c>
      <c r="G6" s="53" t="s">
        <v>13</v>
      </c>
      <c r="H6" s="53" t="s">
        <v>14</v>
      </c>
      <c r="I6" s="53" t="s">
        <v>15</v>
      </c>
      <c r="J6" s="53" t="s">
        <v>16</v>
      </c>
      <c r="K6" s="53" t="s">
        <v>17</v>
      </c>
      <c r="L6" s="53" t="s">
        <v>18</v>
      </c>
      <c r="M6" s="53" t="s">
        <v>19</v>
      </c>
      <c r="N6" s="62" t="s">
        <v>20</v>
      </c>
      <c r="O6" s="63"/>
      <c r="P6" s="53" t="s">
        <v>100</v>
      </c>
      <c r="Q6" s="53" t="s">
        <v>21</v>
      </c>
      <c r="R6" s="60" t="s">
        <v>22</v>
      </c>
      <c r="S6" s="59" t="s">
        <v>117</v>
      </c>
      <c r="T6" s="59"/>
      <c r="U6" s="12"/>
      <c r="V6" s="12"/>
      <c r="W6" s="12"/>
      <c r="X6" s="12"/>
      <c r="Y6" s="12"/>
      <c r="Z6" s="12"/>
      <c r="AA6" s="12"/>
      <c r="AB6" s="12"/>
    </row>
    <row r="7" spans="1:28" ht="114" customHeight="1">
      <c r="A7" s="54"/>
      <c r="B7" s="54"/>
      <c r="C7" s="54"/>
      <c r="D7" s="54"/>
      <c r="E7" s="54"/>
      <c r="F7" s="54"/>
      <c r="G7" s="54"/>
      <c r="H7" s="54"/>
      <c r="I7" s="54"/>
      <c r="J7" s="54"/>
      <c r="K7" s="54"/>
      <c r="L7" s="54"/>
      <c r="M7" s="54"/>
      <c r="N7" s="20" t="s">
        <v>23</v>
      </c>
      <c r="O7" s="20" t="s">
        <v>24</v>
      </c>
      <c r="P7" s="54"/>
      <c r="Q7" s="54"/>
      <c r="R7" s="61"/>
      <c r="S7" s="16" t="s">
        <v>115</v>
      </c>
      <c r="T7" s="16" t="s">
        <v>116</v>
      </c>
      <c r="U7" s="12"/>
      <c r="V7" s="12"/>
      <c r="W7" s="12"/>
      <c r="X7" s="12"/>
      <c r="Y7" s="12"/>
      <c r="Z7" s="12"/>
      <c r="AA7" s="12"/>
      <c r="AB7" s="12"/>
    </row>
    <row r="8" spans="1:28" ht="17.25" customHeight="1">
      <c r="A8" s="21" t="s">
        <v>25</v>
      </c>
      <c r="B8" s="21" t="s">
        <v>26</v>
      </c>
      <c r="C8" s="22">
        <v>1</v>
      </c>
      <c r="D8" s="22">
        <f t="shared" ref="D8:R8" si="0">C8+1</f>
        <v>2</v>
      </c>
      <c r="E8" s="22">
        <f t="shared" si="0"/>
        <v>3</v>
      </c>
      <c r="F8" s="22">
        <f t="shared" si="0"/>
        <v>4</v>
      </c>
      <c r="G8" s="22">
        <f t="shared" si="0"/>
        <v>5</v>
      </c>
      <c r="H8" s="22">
        <f t="shared" si="0"/>
        <v>6</v>
      </c>
      <c r="I8" s="22">
        <f t="shared" si="0"/>
        <v>7</v>
      </c>
      <c r="J8" s="22">
        <f t="shared" si="0"/>
        <v>8</v>
      </c>
      <c r="K8" s="22">
        <f t="shared" si="0"/>
        <v>9</v>
      </c>
      <c r="L8" s="22">
        <f t="shared" si="0"/>
        <v>10</v>
      </c>
      <c r="M8" s="22">
        <f t="shared" si="0"/>
        <v>11</v>
      </c>
      <c r="N8" s="22">
        <f t="shared" si="0"/>
        <v>12</v>
      </c>
      <c r="O8" s="22">
        <f t="shared" si="0"/>
        <v>13</v>
      </c>
      <c r="P8" s="22">
        <f t="shared" si="0"/>
        <v>14</v>
      </c>
      <c r="Q8" s="22">
        <f t="shared" si="0"/>
        <v>15</v>
      </c>
      <c r="R8" s="22">
        <f t="shared" si="0"/>
        <v>16</v>
      </c>
      <c r="S8" s="22"/>
      <c r="T8" s="22"/>
      <c r="U8" s="13"/>
      <c r="V8" s="13"/>
      <c r="W8" s="13"/>
      <c r="X8" s="13"/>
      <c r="Y8" s="13"/>
      <c r="Z8" s="13"/>
      <c r="AA8" s="13"/>
      <c r="AB8" s="13"/>
    </row>
    <row r="9" spans="1:28" ht="23.25" customHeight="1">
      <c r="A9" s="23"/>
      <c r="B9" s="24" t="s">
        <v>27</v>
      </c>
      <c r="C9" s="25">
        <f>SUM(D9:M9)+P9+Q9+R9</f>
        <v>1641759</v>
      </c>
      <c r="D9" s="25">
        <f t="shared" ref="D9:T9" si="1">D10+D60</f>
        <v>496383</v>
      </c>
      <c r="E9" s="25">
        <f t="shared" si="1"/>
        <v>20329</v>
      </c>
      <c r="F9" s="25">
        <f t="shared" si="1"/>
        <v>49779</v>
      </c>
      <c r="G9" s="25">
        <f t="shared" si="1"/>
        <v>13894</v>
      </c>
      <c r="H9" s="25">
        <f t="shared" si="1"/>
        <v>403658</v>
      </c>
      <c r="I9" s="25">
        <f t="shared" si="1"/>
        <v>29340</v>
      </c>
      <c r="J9" s="25">
        <f t="shared" si="1"/>
        <v>4022</v>
      </c>
      <c r="K9" s="25">
        <f t="shared" si="1"/>
        <v>14944</v>
      </c>
      <c r="L9" s="25">
        <f t="shared" si="1"/>
        <v>11138</v>
      </c>
      <c r="M9" s="25">
        <f t="shared" si="1"/>
        <v>214911</v>
      </c>
      <c r="N9" s="25">
        <f t="shared" si="1"/>
        <v>34298</v>
      </c>
      <c r="O9" s="25">
        <f t="shared" si="1"/>
        <v>93049</v>
      </c>
      <c r="P9" s="25">
        <f t="shared" si="1"/>
        <v>280563</v>
      </c>
      <c r="Q9" s="25">
        <f t="shared" si="1"/>
        <v>59035</v>
      </c>
      <c r="R9" s="25">
        <f t="shared" si="1"/>
        <v>43763</v>
      </c>
      <c r="S9" s="25">
        <f t="shared" si="1"/>
        <v>41788</v>
      </c>
      <c r="T9" s="25">
        <f t="shared" si="1"/>
        <v>47369</v>
      </c>
      <c r="U9" s="11"/>
      <c r="V9" s="11"/>
      <c r="W9" s="11"/>
      <c r="X9" s="11"/>
      <c r="Y9" s="11"/>
      <c r="Z9" s="11"/>
      <c r="AA9" s="11"/>
      <c r="AB9" s="11"/>
    </row>
    <row r="10" spans="1:28" ht="33">
      <c r="A10" s="26" t="s">
        <v>28</v>
      </c>
      <c r="B10" s="27" t="s">
        <v>29</v>
      </c>
      <c r="C10" s="28">
        <f t="shared" ref="C10:C92" si="2">SUM(D10:M10)+P10+Q10+R10</f>
        <v>1141360</v>
      </c>
      <c r="D10" s="28">
        <f t="shared" ref="D10:T10" si="3">SUM(D11:D59)</f>
        <v>391344</v>
      </c>
      <c r="E10" s="28">
        <f t="shared" si="3"/>
        <v>20329</v>
      </c>
      <c r="F10" s="28">
        <f t="shared" si="3"/>
        <v>37222</v>
      </c>
      <c r="G10" s="28">
        <f t="shared" si="3"/>
        <v>4394</v>
      </c>
      <c r="H10" s="28">
        <f t="shared" si="3"/>
        <v>175665</v>
      </c>
      <c r="I10" s="28">
        <f t="shared" si="3"/>
        <v>29340</v>
      </c>
      <c r="J10" s="28">
        <f t="shared" si="3"/>
        <v>4022</v>
      </c>
      <c r="K10" s="28">
        <f t="shared" si="3"/>
        <v>14944</v>
      </c>
      <c r="L10" s="28">
        <f t="shared" si="3"/>
        <v>11138</v>
      </c>
      <c r="M10" s="28">
        <f t="shared" si="3"/>
        <v>121280</v>
      </c>
      <c r="N10" s="28">
        <f t="shared" si="3"/>
        <v>34298</v>
      </c>
      <c r="O10" s="28">
        <f t="shared" si="3"/>
        <v>36501</v>
      </c>
      <c r="P10" s="28">
        <f t="shared" si="3"/>
        <v>270747</v>
      </c>
      <c r="Q10" s="28">
        <f t="shared" si="3"/>
        <v>46935</v>
      </c>
      <c r="R10" s="28">
        <f t="shared" si="3"/>
        <v>14000</v>
      </c>
      <c r="S10" s="28">
        <f t="shared" si="3"/>
        <v>37121</v>
      </c>
      <c r="T10" s="28">
        <f t="shared" si="3"/>
        <v>47369</v>
      </c>
      <c r="U10" s="11"/>
      <c r="V10" s="11"/>
      <c r="W10" s="11"/>
      <c r="X10" s="11"/>
      <c r="Y10" s="11"/>
      <c r="Z10" s="11"/>
      <c r="AA10" s="11"/>
      <c r="AB10" s="11"/>
    </row>
    <row r="11" spans="1:28" ht="18.75" customHeight="1">
      <c r="A11" s="29">
        <v>1</v>
      </c>
      <c r="B11" s="30" t="s">
        <v>30</v>
      </c>
      <c r="C11" s="31">
        <f t="shared" si="2"/>
        <v>69797</v>
      </c>
      <c r="D11" s="31">
        <v>506</v>
      </c>
      <c r="E11" s="31"/>
      <c r="F11" s="31"/>
      <c r="G11" s="31"/>
      <c r="H11" s="31"/>
      <c r="I11" s="31">
        <v>5800</v>
      </c>
      <c r="J11" s="31"/>
      <c r="K11" s="31"/>
      <c r="L11" s="31"/>
      <c r="M11" s="31"/>
      <c r="N11" s="31"/>
      <c r="O11" s="31"/>
      <c r="P11" s="31">
        <v>54991</v>
      </c>
      <c r="Q11" s="31">
        <v>8500</v>
      </c>
      <c r="R11" s="31"/>
      <c r="S11" s="31">
        <f>700+51</f>
        <v>751</v>
      </c>
      <c r="T11" s="31"/>
      <c r="U11" s="11"/>
      <c r="V11" s="11"/>
      <c r="W11" s="11"/>
      <c r="X11" s="11"/>
      <c r="Y11" s="11"/>
      <c r="Z11" s="11"/>
      <c r="AA11" s="11"/>
      <c r="AB11" s="11"/>
    </row>
    <row r="12" spans="1:28" ht="18.75" customHeight="1">
      <c r="A12" s="29">
        <v>2</v>
      </c>
      <c r="B12" s="30" t="s">
        <v>31</v>
      </c>
      <c r="C12" s="31">
        <f t="shared" si="2"/>
        <v>18960</v>
      </c>
      <c r="D12" s="31">
        <v>138</v>
      </c>
      <c r="E12" s="31"/>
      <c r="F12" s="31"/>
      <c r="G12" s="31"/>
      <c r="H12" s="31"/>
      <c r="I12" s="31"/>
      <c r="J12" s="31"/>
      <c r="K12" s="31"/>
      <c r="L12" s="31"/>
      <c r="M12" s="31">
        <v>2519</v>
      </c>
      <c r="N12" s="31"/>
      <c r="O12" s="31"/>
      <c r="P12" s="31">
        <v>16303</v>
      </c>
      <c r="Q12" s="31"/>
      <c r="R12" s="31"/>
      <c r="S12" s="31">
        <f>790+136+14</f>
        <v>940</v>
      </c>
      <c r="T12" s="31">
        <f>30</f>
        <v>30</v>
      </c>
      <c r="U12" s="11"/>
      <c r="V12" s="11"/>
      <c r="W12" s="11"/>
      <c r="X12" s="11"/>
      <c r="Y12" s="11"/>
      <c r="Z12" s="11"/>
      <c r="AA12" s="11"/>
      <c r="AB12" s="11"/>
    </row>
    <row r="13" spans="1:28" ht="18.75" customHeight="1">
      <c r="A13" s="29">
        <v>3</v>
      </c>
      <c r="B13" s="30" t="s">
        <v>32</v>
      </c>
      <c r="C13" s="31">
        <f t="shared" si="2"/>
        <v>9759</v>
      </c>
      <c r="D13" s="31">
        <v>30</v>
      </c>
      <c r="E13" s="31"/>
      <c r="F13" s="31"/>
      <c r="G13" s="31"/>
      <c r="H13" s="31"/>
      <c r="I13" s="31"/>
      <c r="J13" s="31"/>
      <c r="K13" s="31"/>
      <c r="L13" s="31"/>
      <c r="M13" s="31"/>
      <c r="N13" s="31"/>
      <c r="O13" s="31"/>
      <c r="P13" s="31">
        <v>9729</v>
      </c>
      <c r="Q13" s="31"/>
      <c r="R13" s="31"/>
      <c r="S13" s="31">
        <f>678+3</f>
        <v>681</v>
      </c>
      <c r="T13" s="31"/>
      <c r="U13" s="11"/>
      <c r="V13" s="11"/>
      <c r="W13" s="11"/>
      <c r="X13" s="11"/>
      <c r="Y13" s="11"/>
      <c r="Z13" s="11"/>
      <c r="AA13" s="11"/>
      <c r="AB13" s="11"/>
    </row>
    <row r="14" spans="1:28" ht="18.75" customHeight="1">
      <c r="A14" s="29">
        <v>4</v>
      </c>
      <c r="B14" s="30" t="s">
        <v>33</v>
      </c>
      <c r="C14" s="31">
        <f t="shared" si="2"/>
        <v>10106</v>
      </c>
      <c r="D14" s="31">
        <v>180</v>
      </c>
      <c r="E14" s="31"/>
      <c r="F14" s="31"/>
      <c r="G14" s="31"/>
      <c r="H14" s="31"/>
      <c r="I14" s="31"/>
      <c r="J14" s="31"/>
      <c r="K14" s="31"/>
      <c r="L14" s="31"/>
      <c r="M14" s="31"/>
      <c r="N14" s="31"/>
      <c r="O14" s="31"/>
      <c r="P14" s="31">
        <v>9926</v>
      </c>
      <c r="Q14" s="31"/>
      <c r="R14" s="31"/>
      <c r="S14" s="31">
        <f>383+18</f>
        <v>401</v>
      </c>
      <c r="T14" s="31"/>
      <c r="U14" s="11"/>
      <c r="V14" s="11"/>
      <c r="W14" s="11"/>
      <c r="X14" s="11"/>
      <c r="Y14" s="11"/>
      <c r="Z14" s="11"/>
      <c r="AA14" s="11"/>
      <c r="AB14" s="11"/>
    </row>
    <row r="15" spans="1:28" ht="37.5" customHeight="1">
      <c r="A15" s="29">
        <v>5</v>
      </c>
      <c r="B15" s="30" t="s">
        <v>34</v>
      </c>
      <c r="C15" s="31">
        <f t="shared" si="2"/>
        <v>38072</v>
      </c>
      <c r="D15" s="31">
        <v>95</v>
      </c>
      <c r="E15" s="31"/>
      <c r="F15" s="31"/>
      <c r="G15" s="31"/>
      <c r="H15" s="31"/>
      <c r="I15" s="31"/>
      <c r="J15" s="31"/>
      <c r="K15" s="31"/>
      <c r="L15" s="31">
        <v>7216</v>
      </c>
      <c r="M15" s="31">
        <v>22998</v>
      </c>
      <c r="N15" s="31"/>
      <c r="O15" s="31"/>
      <c r="P15" s="31">
        <v>7763</v>
      </c>
      <c r="Q15" s="31"/>
      <c r="R15" s="31"/>
      <c r="S15" s="31">
        <f>206+1760+673+10</f>
        <v>2649</v>
      </c>
      <c r="T15" s="31">
        <f>101+24</f>
        <v>125</v>
      </c>
      <c r="U15" s="11"/>
      <c r="V15" s="11"/>
      <c r="W15" s="11"/>
      <c r="X15" s="11"/>
      <c r="Y15" s="11"/>
      <c r="Z15" s="11"/>
      <c r="AA15" s="11"/>
      <c r="AB15" s="11"/>
    </row>
    <row r="16" spans="1:28" ht="37.5" customHeight="1">
      <c r="A16" s="29">
        <v>6</v>
      </c>
      <c r="B16" s="30" t="s">
        <v>35</v>
      </c>
      <c r="C16" s="31">
        <f>SUM(D16:M16)+P16+Q16+R16</f>
        <v>59459</v>
      </c>
      <c r="D16" s="32">
        <v>232</v>
      </c>
      <c r="E16" s="32"/>
      <c r="F16" s="32"/>
      <c r="G16" s="32"/>
      <c r="H16" s="32"/>
      <c r="I16" s="32"/>
      <c r="J16" s="32"/>
      <c r="K16" s="32"/>
      <c r="L16" s="32"/>
      <c r="M16" s="32">
        <f>38365-M61</f>
        <v>36501</v>
      </c>
      <c r="N16" s="32"/>
      <c r="O16" s="32">
        <f>M16</f>
        <v>36501</v>
      </c>
      <c r="P16" s="32">
        <v>22726</v>
      </c>
      <c r="Q16" s="32"/>
      <c r="R16" s="32"/>
      <c r="S16" s="32">
        <f>486+1904+23</f>
        <v>2413</v>
      </c>
      <c r="T16" s="32">
        <v>56</v>
      </c>
      <c r="U16" s="11"/>
      <c r="V16" s="11"/>
      <c r="W16" s="11"/>
      <c r="X16" s="11"/>
      <c r="Y16" s="11"/>
      <c r="Z16" s="11"/>
      <c r="AA16" s="11"/>
      <c r="AB16" s="11"/>
    </row>
    <row r="17" spans="1:28" ht="37.5" customHeight="1">
      <c r="A17" s="29">
        <v>7</v>
      </c>
      <c r="B17" s="30" t="s">
        <v>36</v>
      </c>
      <c r="C17" s="31">
        <f t="shared" si="2"/>
        <v>9509</v>
      </c>
      <c r="D17" s="32">
        <v>100</v>
      </c>
      <c r="E17" s="32"/>
      <c r="F17" s="32"/>
      <c r="G17" s="32"/>
      <c r="H17" s="32"/>
      <c r="I17" s="32"/>
      <c r="J17" s="32"/>
      <c r="K17" s="32"/>
      <c r="L17" s="32"/>
      <c r="M17" s="32">
        <v>3113</v>
      </c>
      <c r="N17" s="32"/>
      <c r="O17" s="32"/>
      <c r="P17" s="32">
        <v>6296</v>
      </c>
      <c r="Q17" s="32"/>
      <c r="R17" s="32"/>
      <c r="S17" s="32">
        <f>284+131+10</f>
        <v>425</v>
      </c>
      <c r="T17" s="32">
        <f>30</f>
        <v>30</v>
      </c>
      <c r="U17" s="11"/>
      <c r="V17" s="11"/>
      <c r="W17" s="11"/>
      <c r="X17" s="11"/>
      <c r="Y17" s="11"/>
      <c r="Z17" s="11"/>
      <c r="AA17" s="11"/>
      <c r="AB17" s="11"/>
    </row>
    <row r="18" spans="1:28" ht="18.75" customHeight="1">
      <c r="A18" s="29">
        <v>8</v>
      </c>
      <c r="B18" s="30" t="s">
        <v>37</v>
      </c>
      <c r="C18" s="31">
        <f t="shared" si="2"/>
        <v>328392</v>
      </c>
      <c r="D18" s="32">
        <f>315735+5300</f>
        <v>321035</v>
      </c>
      <c r="E18" s="32"/>
      <c r="F18" s="32"/>
      <c r="G18" s="32"/>
      <c r="H18" s="32"/>
      <c r="I18" s="32"/>
      <c r="J18" s="32"/>
      <c r="K18" s="32"/>
      <c r="L18" s="32"/>
      <c r="M18" s="32"/>
      <c r="N18" s="32"/>
      <c r="O18" s="32"/>
      <c r="P18" s="32">
        <v>7357</v>
      </c>
      <c r="Q18" s="32"/>
      <c r="R18" s="32"/>
      <c r="S18" s="32">
        <f>128+4553+530</f>
        <v>5211</v>
      </c>
      <c r="T18" s="32">
        <v>10189</v>
      </c>
      <c r="U18" s="11"/>
      <c r="V18" s="11"/>
      <c r="W18" s="11"/>
      <c r="X18" s="11"/>
      <c r="Y18" s="11"/>
      <c r="Z18" s="11"/>
      <c r="AA18" s="11"/>
      <c r="AB18" s="11"/>
    </row>
    <row r="19" spans="1:28" ht="18.75" customHeight="1">
      <c r="A19" s="29">
        <v>9</v>
      </c>
      <c r="B19" s="30" t="s">
        <v>38</v>
      </c>
      <c r="C19" s="31">
        <f t="shared" si="2"/>
        <v>15681</v>
      </c>
      <c r="D19" s="32">
        <v>1083</v>
      </c>
      <c r="E19" s="32"/>
      <c r="F19" s="32"/>
      <c r="G19" s="32"/>
      <c r="H19" s="32"/>
      <c r="I19" s="32"/>
      <c r="J19" s="32"/>
      <c r="K19" s="32"/>
      <c r="L19" s="32"/>
      <c r="M19" s="32"/>
      <c r="N19" s="32"/>
      <c r="O19" s="32"/>
      <c r="P19" s="32">
        <v>14598</v>
      </c>
      <c r="Q19" s="32"/>
      <c r="R19" s="32"/>
      <c r="S19" s="32">
        <f>1017</f>
        <v>1017</v>
      </c>
      <c r="T19" s="32">
        <f>168</f>
        <v>168</v>
      </c>
      <c r="U19" s="11"/>
      <c r="V19" s="11"/>
      <c r="W19" s="11"/>
      <c r="X19" s="11"/>
      <c r="Y19" s="11"/>
      <c r="Z19" s="11"/>
      <c r="AA19" s="11"/>
      <c r="AB19" s="11"/>
    </row>
    <row r="20" spans="1:28" ht="18.75" customHeight="1">
      <c r="A20" s="29">
        <v>10</v>
      </c>
      <c r="B20" s="30" t="s">
        <v>39</v>
      </c>
      <c r="C20" s="31">
        <f t="shared" si="2"/>
        <v>9779</v>
      </c>
      <c r="D20" s="32">
        <v>120</v>
      </c>
      <c r="E20" s="32"/>
      <c r="F20" s="32"/>
      <c r="G20" s="32"/>
      <c r="H20" s="32"/>
      <c r="I20" s="32"/>
      <c r="J20" s="32"/>
      <c r="K20" s="32"/>
      <c r="L20" s="32"/>
      <c r="M20" s="32">
        <v>1003</v>
      </c>
      <c r="N20" s="32"/>
      <c r="O20" s="32"/>
      <c r="P20" s="32">
        <v>8656</v>
      </c>
      <c r="Q20" s="32"/>
      <c r="R20" s="32"/>
      <c r="S20" s="32">
        <f>167+14+12</f>
        <v>193</v>
      </c>
      <c r="T20" s="32">
        <f>40</f>
        <v>40</v>
      </c>
      <c r="U20" s="11"/>
      <c r="V20" s="11"/>
      <c r="W20" s="11"/>
      <c r="X20" s="11"/>
      <c r="Y20" s="11"/>
      <c r="Z20" s="11"/>
      <c r="AA20" s="11"/>
      <c r="AB20" s="11"/>
    </row>
    <row r="21" spans="1:28" ht="18.75" customHeight="1">
      <c r="A21" s="29">
        <v>11</v>
      </c>
      <c r="B21" s="30" t="s">
        <v>40</v>
      </c>
      <c r="C21" s="31">
        <f t="shared" si="2"/>
        <v>50078</v>
      </c>
      <c r="D21" s="32">
        <f>3515+200</f>
        <v>3715</v>
      </c>
      <c r="E21" s="32"/>
      <c r="F21" s="32"/>
      <c r="G21" s="32"/>
      <c r="H21" s="32"/>
      <c r="I21" s="32"/>
      <c r="J21" s="32"/>
      <c r="K21" s="32"/>
      <c r="L21" s="32"/>
      <c r="M21" s="32">
        <v>2026</v>
      </c>
      <c r="N21" s="32"/>
      <c r="O21" s="32"/>
      <c r="P21" s="32">
        <v>5902</v>
      </c>
      <c r="Q21" s="32">
        <v>38435</v>
      </c>
      <c r="R21" s="32"/>
      <c r="S21" s="32">
        <f>159+81+941+41+20</f>
        <v>1242</v>
      </c>
      <c r="T21" s="32">
        <f>1264+116+185</f>
        <v>1565</v>
      </c>
      <c r="U21" s="11"/>
      <c r="V21" s="11"/>
      <c r="W21" s="11"/>
      <c r="X21" s="11"/>
      <c r="Y21" s="11"/>
      <c r="Z21" s="11"/>
      <c r="AA21" s="11"/>
      <c r="AB21" s="11"/>
    </row>
    <row r="22" spans="1:28" ht="18.75" customHeight="1">
      <c r="A22" s="29">
        <v>12</v>
      </c>
      <c r="B22" s="30" t="s">
        <v>41</v>
      </c>
      <c r="C22" s="31">
        <f t="shared" si="2"/>
        <v>13609</v>
      </c>
      <c r="D22" s="32">
        <v>200</v>
      </c>
      <c r="E22" s="32"/>
      <c r="F22" s="32"/>
      <c r="G22" s="32"/>
      <c r="H22" s="32"/>
      <c r="I22" s="32"/>
      <c r="J22" s="32"/>
      <c r="K22" s="32"/>
      <c r="L22" s="32"/>
      <c r="M22" s="32">
        <v>6843</v>
      </c>
      <c r="N22" s="32"/>
      <c r="O22" s="32"/>
      <c r="P22" s="32">
        <v>6566</v>
      </c>
      <c r="Q22" s="32"/>
      <c r="R22" s="32"/>
      <c r="S22" s="32">
        <f>305+570+20</f>
        <v>895</v>
      </c>
      <c r="T22" s="32">
        <v>16</v>
      </c>
      <c r="U22" s="11"/>
      <c r="V22" s="11"/>
      <c r="W22" s="11"/>
      <c r="X22" s="11"/>
      <c r="Y22" s="11"/>
      <c r="Z22" s="11"/>
      <c r="AA22" s="11"/>
      <c r="AB22" s="11"/>
    </row>
    <row r="23" spans="1:28" ht="18.75" customHeight="1">
      <c r="A23" s="29">
        <v>13</v>
      </c>
      <c r="B23" s="30" t="s">
        <v>42</v>
      </c>
      <c r="C23" s="31">
        <f t="shared" si="2"/>
        <v>200686</v>
      </c>
      <c r="D23" s="32">
        <v>13333</v>
      </c>
      <c r="E23" s="32"/>
      <c r="F23" s="32"/>
      <c r="G23" s="32"/>
      <c r="H23" s="32">
        <v>175665</v>
      </c>
      <c r="I23" s="32"/>
      <c r="J23" s="32"/>
      <c r="K23" s="32"/>
      <c r="L23" s="32">
        <v>2000</v>
      </c>
      <c r="M23" s="32"/>
      <c r="N23" s="32"/>
      <c r="O23" s="32"/>
      <c r="P23" s="32">
        <v>9688</v>
      </c>
      <c r="Q23" s="32"/>
      <c r="R23" s="32"/>
      <c r="S23" s="32">
        <f>187+333+397+200</f>
        <v>1117</v>
      </c>
      <c r="T23" s="32">
        <f>64+30268</f>
        <v>30332</v>
      </c>
      <c r="U23" s="11"/>
      <c r="V23" s="11"/>
      <c r="W23" s="11"/>
      <c r="X23" s="11"/>
      <c r="Y23" s="11"/>
      <c r="Z23" s="11"/>
      <c r="AA23" s="11"/>
      <c r="AB23" s="11"/>
    </row>
    <row r="24" spans="1:28" ht="18.75" customHeight="1">
      <c r="A24" s="29">
        <v>14</v>
      </c>
      <c r="B24" s="30" t="s">
        <v>43</v>
      </c>
      <c r="C24" s="31">
        <f t="shared" si="2"/>
        <v>7233</v>
      </c>
      <c r="D24" s="32">
        <v>275</v>
      </c>
      <c r="E24" s="32"/>
      <c r="F24" s="32"/>
      <c r="G24" s="32"/>
      <c r="H24" s="32"/>
      <c r="I24" s="32"/>
      <c r="J24" s="32"/>
      <c r="K24" s="32"/>
      <c r="L24" s="32"/>
      <c r="M24" s="32"/>
      <c r="N24" s="32"/>
      <c r="O24" s="32"/>
      <c r="P24" s="32">
        <v>6958</v>
      </c>
      <c r="Q24" s="32"/>
      <c r="R24" s="32"/>
      <c r="S24" s="32">
        <f>245+25</f>
        <v>270</v>
      </c>
      <c r="T24" s="32"/>
      <c r="U24" s="11"/>
      <c r="V24" s="11"/>
      <c r="W24" s="11"/>
      <c r="X24" s="11"/>
      <c r="Y24" s="11"/>
      <c r="Z24" s="11"/>
      <c r="AA24" s="11"/>
      <c r="AB24" s="11"/>
    </row>
    <row r="25" spans="1:28" ht="37.5" customHeight="1">
      <c r="A25" s="29">
        <v>15</v>
      </c>
      <c r="B25" s="30" t="s">
        <v>44</v>
      </c>
      <c r="C25" s="31">
        <f t="shared" si="2"/>
        <v>45443</v>
      </c>
      <c r="D25" s="32"/>
      <c r="E25" s="32"/>
      <c r="F25" s="32"/>
      <c r="G25" s="32"/>
      <c r="H25" s="32"/>
      <c r="I25" s="32"/>
      <c r="J25" s="32"/>
      <c r="K25" s="32"/>
      <c r="L25" s="32"/>
      <c r="M25" s="32">
        <v>34298</v>
      </c>
      <c r="N25" s="32">
        <v>34298</v>
      </c>
      <c r="O25" s="32"/>
      <c r="P25" s="32">
        <v>11145</v>
      </c>
      <c r="Q25" s="32"/>
      <c r="R25" s="32"/>
      <c r="S25" s="32">
        <f>440+3353</f>
        <v>3793</v>
      </c>
      <c r="T25" s="32">
        <f>230+75</f>
        <v>305</v>
      </c>
      <c r="U25" s="11"/>
      <c r="V25" s="11"/>
      <c r="W25" s="11"/>
      <c r="X25" s="11"/>
      <c r="Y25" s="11"/>
      <c r="Z25" s="11"/>
      <c r="AA25" s="11"/>
      <c r="AB25" s="11"/>
    </row>
    <row r="26" spans="1:28" ht="18.75" customHeight="1">
      <c r="A26" s="29">
        <v>16</v>
      </c>
      <c r="B26" s="30" t="s">
        <v>45</v>
      </c>
      <c r="C26" s="31">
        <f t="shared" si="2"/>
        <v>53034</v>
      </c>
      <c r="D26" s="32">
        <f>12234+220</f>
        <v>12454</v>
      </c>
      <c r="E26" s="32"/>
      <c r="F26" s="32"/>
      <c r="G26" s="32"/>
      <c r="H26" s="32"/>
      <c r="I26" s="32">
        <v>19712</v>
      </c>
      <c r="J26" s="32"/>
      <c r="K26" s="32">
        <v>14944</v>
      </c>
      <c r="L26" s="32"/>
      <c r="M26" s="32"/>
      <c r="N26" s="32"/>
      <c r="O26" s="32"/>
      <c r="P26" s="32">
        <v>5924</v>
      </c>
      <c r="Q26" s="32"/>
      <c r="R26" s="32"/>
      <c r="S26" s="32">
        <f>148+973+1104+1352+20</f>
        <v>3597</v>
      </c>
      <c r="T26" s="32">
        <f>13+290+34</f>
        <v>337</v>
      </c>
      <c r="U26" s="11"/>
      <c r="V26" s="11"/>
      <c r="W26" s="11"/>
      <c r="X26" s="11"/>
      <c r="Y26" s="11"/>
      <c r="Z26" s="11"/>
      <c r="AA26" s="11"/>
      <c r="AB26" s="11"/>
    </row>
    <row r="27" spans="1:28" ht="18.75" customHeight="1">
      <c r="A27" s="29">
        <v>17</v>
      </c>
      <c r="B27" s="30" t="s">
        <v>46</v>
      </c>
      <c r="C27" s="31">
        <f t="shared" si="2"/>
        <v>17255</v>
      </c>
      <c r="D27" s="32">
        <v>60</v>
      </c>
      <c r="E27" s="32"/>
      <c r="F27" s="32"/>
      <c r="G27" s="32"/>
      <c r="H27" s="32"/>
      <c r="I27" s="32"/>
      <c r="J27" s="32"/>
      <c r="K27" s="32"/>
      <c r="L27" s="32">
        <v>600</v>
      </c>
      <c r="M27" s="32">
        <v>10484</v>
      </c>
      <c r="N27" s="32"/>
      <c r="O27" s="32"/>
      <c r="P27" s="32">
        <v>6111</v>
      </c>
      <c r="Q27" s="32"/>
      <c r="R27" s="32"/>
      <c r="S27" s="32">
        <f>189+470+60+6</f>
        <v>725</v>
      </c>
      <c r="T27" s="32"/>
      <c r="U27" s="11"/>
      <c r="V27" s="11"/>
      <c r="W27" s="11"/>
      <c r="X27" s="11"/>
      <c r="Y27" s="11"/>
      <c r="Z27" s="11"/>
      <c r="AA27" s="11"/>
      <c r="AB27" s="11"/>
    </row>
    <row r="28" spans="1:28" ht="18.75">
      <c r="A28" s="29">
        <v>18</v>
      </c>
      <c r="B28" s="30" t="s">
        <v>47</v>
      </c>
      <c r="C28" s="31">
        <f t="shared" si="2"/>
        <v>29208</v>
      </c>
      <c r="D28" s="32">
        <v>140</v>
      </c>
      <c r="E28" s="32"/>
      <c r="F28" s="32"/>
      <c r="G28" s="32"/>
      <c r="H28" s="32"/>
      <c r="I28" s="32"/>
      <c r="J28" s="32"/>
      <c r="K28" s="32"/>
      <c r="L28" s="32"/>
      <c r="M28" s="32"/>
      <c r="N28" s="32"/>
      <c r="O28" s="32"/>
      <c r="P28" s="32">
        <v>15068</v>
      </c>
      <c r="Q28" s="32"/>
      <c r="R28" s="32">
        <v>14000</v>
      </c>
      <c r="S28" s="32">
        <f>823+14</f>
        <v>837</v>
      </c>
      <c r="T28" s="32">
        <f>42</f>
        <v>42</v>
      </c>
      <c r="U28" s="11"/>
      <c r="V28" s="11"/>
      <c r="W28" s="11"/>
      <c r="X28" s="11"/>
      <c r="Y28" s="11"/>
      <c r="Z28" s="11"/>
      <c r="AA28" s="11"/>
      <c r="AB28" s="11"/>
    </row>
    <row r="29" spans="1:28" ht="18.75" customHeight="1">
      <c r="A29" s="29">
        <v>19</v>
      </c>
      <c r="B29" s="30" t="s">
        <v>48</v>
      </c>
      <c r="C29" s="31">
        <f t="shared" si="2"/>
        <v>24127</v>
      </c>
      <c r="D29" s="32">
        <v>55</v>
      </c>
      <c r="E29" s="32">
        <v>19309</v>
      </c>
      <c r="F29" s="32"/>
      <c r="G29" s="32"/>
      <c r="H29" s="32"/>
      <c r="I29" s="32"/>
      <c r="J29" s="32"/>
      <c r="K29" s="32"/>
      <c r="L29" s="32"/>
      <c r="M29" s="32"/>
      <c r="N29" s="32"/>
      <c r="O29" s="32"/>
      <c r="P29" s="32">
        <v>4763</v>
      </c>
      <c r="Q29" s="32"/>
      <c r="R29" s="32"/>
      <c r="S29" s="32">
        <f>119+1757+6</f>
        <v>1882</v>
      </c>
      <c r="T29" s="32">
        <v>399</v>
      </c>
      <c r="U29" s="11"/>
      <c r="V29" s="11"/>
      <c r="W29" s="11"/>
      <c r="X29" s="11"/>
      <c r="Y29" s="11"/>
      <c r="Z29" s="11"/>
      <c r="AA29" s="11"/>
      <c r="AB29" s="11"/>
    </row>
    <row r="30" spans="1:28" ht="18.75" customHeight="1">
      <c r="A30" s="29">
        <v>20</v>
      </c>
      <c r="B30" s="30" t="s">
        <v>49</v>
      </c>
      <c r="C30" s="31">
        <f t="shared" si="2"/>
        <v>4655</v>
      </c>
      <c r="D30" s="32">
        <v>15</v>
      </c>
      <c r="E30" s="32"/>
      <c r="F30" s="32"/>
      <c r="G30" s="32"/>
      <c r="H30" s="32"/>
      <c r="I30" s="32"/>
      <c r="J30" s="32"/>
      <c r="K30" s="32"/>
      <c r="L30" s="32">
        <v>300</v>
      </c>
      <c r="M30" s="32">
        <f>1495</f>
        <v>1495</v>
      </c>
      <c r="N30" s="32"/>
      <c r="O30" s="32"/>
      <c r="P30" s="32">
        <v>2845</v>
      </c>
      <c r="Q30" s="32"/>
      <c r="R30" s="32"/>
      <c r="S30" s="32">
        <f>112+150+30+1</f>
        <v>293</v>
      </c>
      <c r="T30" s="32"/>
      <c r="U30" s="11"/>
      <c r="V30" s="11"/>
      <c r="W30" s="11"/>
      <c r="X30" s="11"/>
      <c r="Y30" s="11"/>
      <c r="Z30" s="11"/>
      <c r="AA30" s="11"/>
      <c r="AB30" s="11"/>
    </row>
    <row r="31" spans="1:28" ht="18.75" customHeight="1">
      <c r="A31" s="29">
        <v>21</v>
      </c>
      <c r="B31" s="30" t="s">
        <v>50</v>
      </c>
      <c r="C31" s="31">
        <f t="shared" si="2"/>
        <v>1760</v>
      </c>
      <c r="D31" s="32"/>
      <c r="E31" s="32"/>
      <c r="F31" s="32"/>
      <c r="G31" s="32"/>
      <c r="H31" s="32"/>
      <c r="I31" s="32"/>
      <c r="J31" s="32"/>
      <c r="K31" s="32"/>
      <c r="L31" s="32"/>
      <c r="M31" s="32"/>
      <c r="N31" s="32"/>
      <c r="O31" s="32"/>
      <c r="P31" s="32">
        <v>1760</v>
      </c>
      <c r="Q31" s="32"/>
      <c r="R31" s="32"/>
      <c r="S31" s="32">
        <f>115</f>
        <v>115</v>
      </c>
      <c r="T31" s="32"/>
      <c r="U31" s="11"/>
      <c r="V31" s="11"/>
      <c r="W31" s="11"/>
      <c r="X31" s="11"/>
      <c r="Y31" s="11"/>
      <c r="Z31" s="11"/>
      <c r="AA31" s="11"/>
      <c r="AB31" s="11"/>
    </row>
    <row r="32" spans="1:28" ht="18.75" customHeight="1">
      <c r="A32" s="29">
        <v>22</v>
      </c>
      <c r="B32" s="30" t="s">
        <v>51</v>
      </c>
      <c r="C32" s="31">
        <f t="shared" si="2"/>
        <v>4022</v>
      </c>
      <c r="D32" s="32"/>
      <c r="E32" s="32"/>
      <c r="F32" s="32"/>
      <c r="G32" s="32"/>
      <c r="H32" s="32"/>
      <c r="I32" s="32"/>
      <c r="J32" s="32">
        <v>4022</v>
      </c>
      <c r="K32" s="32"/>
      <c r="L32" s="32"/>
      <c r="M32" s="32"/>
      <c r="N32" s="32"/>
      <c r="O32" s="32"/>
      <c r="P32" s="32"/>
      <c r="Q32" s="32"/>
      <c r="R32" s="32"/>
      <c r="S32" s="32"/>
      <c r="T32" s="32"/>
      <c r="U32" s="11"/>
      <c r="V32" s="11"/>
      <c r="W32" s="11"/>
      <c r="X32" s="11"/>
      <c r="Y32" s="11"/>
      <c r="Z32" s="11"/>
      <c r="AA32" s="11"/>
      <c r="AB32" s="11"/>
    </row>
    <row r="33" spans="1:28" ht="18.75" customHeight="1">
      <c r="A33" s="29">
        <v>23</v>
      </c>
      <c r="B33" s="30" t="s">
        <v>52</v>
      </c>
      <c r="C33" s="31">
        <f t="shared" si="2"/>
        <v>6206</v>
      </c>
      <c r="D33" s="32">
        <v>28</v>
      </c>
      <c r="E33" s="32"/>
      <c r="F33" s="32"/>
      <c r="G33" s="32"/>
      <c r="H33" s="32"/>
      <c r="I33" s="32"/>
      <c r="J33" s="32"/>
      <c r="K33" s="32"/>
      <c r="L33" s="32"/>
      <c r="M33" s="32"/>
      <c r="N33" s="32"/>
      <c r="O33" s="32"/>
      <c r="P33" s="32">
        <v>6178</v>
      </c>
      <c r="Q33" s="32"/>
      <c r="R33" s="32"/>
      <c r="S33" s="32">
        <f>344+3</f>
        <v>347</v>
      </c>
      <c r="T33" s="32"/>
      <c r="U33" s="11"/>
      <c r="V33" s="11"/>
      <c r="W33" s="11"/>
      <c r="X33" s="11"/>
      <c r="Y33" s="11"/>
      <c r="Z33" s="11"/>
      <c r="AA33" s="11"/>
      <c r="AB33" s="11"/>
    </row>
    <row r="34" spans="1:28" ht="33">
      <c r="A34" s="29">
        <v>24</v>
      </c>
      <c r="B34" s="30" t="s">
        <v>106</v>
      </c>
      <c r="C34" s="31">
        <f t="shared" si="2"/>
        <v>7398</v>
      </c>
      <c r="D34" s="32">
        <f>375+25</f>
        <v>400</v>
      </c>
      <c r="E34" s="32"/>
      <c r="F34" s="32"/>
      <c r="G34" s="32"/>
      <c r="H34" s="32"/>
      <c r="I34" s="32">
        <v>1881</v>
      </c>
      <c r="J34" s="32"/>
      <c r="K34" s="32"/>
      <c r="L34" s="32"/>
      <c r="M34" s="32"/>
      <c r="N34" s="32"/>
      <c r="O34" s="32"/>
      <c r="P34" s="32">
        <v>5117</v>
      </c>
      <c r="Q34" s="32"/>
      <c r="R34" s="32"/>
      <c r="S34" s="32">
        <f>274+38+96+3</f>
        <v>411</v>
      </c>
      <c r="T34" s="32"/>
      <c r="U34" s="11"/>
      <c r="V34" s="11"/>
      <c r="W34" s="11"/>
      <c r="X34" s="11"/>
      <c r="Y34" s="11"/>
      <c r="Z34" s="11"/>
      <c r="AA34" s="11"/>
      <c r="AB34" s="11"/>
    </row>
    <row r="35" spans="1:28" ht="18.75" customHeight="1">
      <c r="A35" s="29">
        <v>25</v>
      </c>
      <c r="B35" s="30" t="s">
        <v>53</v>
      </c>
      <c r="C35" s="31">
        <f t="shared" si="2"/>
        <v>4759</v>
      </c>
      <c r="D35" s="32">
        <v>70</v>
      </c>
      <c r="E35" s="32"/>
      <c r="F35" s="32"/>
      <c r="G35" s="32"/>
      <c r="H35" s="32"/>
      <c r="I35" s="32"/>
      <c r="J35" s="32"/>
      <c r="K35" s="32"/>
      <c r="L35" s="32"/>
      <c r="M35" s="32"/>
      <c r="N35" s="32"/>
      <c r="O35" s="32"/>
      <c r="P35" s="32">
        <v>4689</v>
      </c>
      <c r="Q35" s="32"/>
      <c r="R35" s="32"/>
      <c r="S35" s="32">
        <f>200+7</f>
        <v>207</v>
      </c>
      <c r="T35" s="32"/>
      <c r="U35" s="11"/>
      <c r="V35" s="11"/>
      <c r="W35" s="11"/>
      <c r="X35" s="11"/>
      <c r="Y35" s="11"/>
      <c r="Z35" s="11"/>
      <c r="AA35" s="11"/>
      <c r="AB35" s="11"/>
    </row>
    <row r="36" spans="1:28" ht="18.75" customHeight="1">
      <c r="A36" s="29">
        <v>26</v>
      </c>
      <c r="B36" s="30" t="s">
        <v>54</v>
      </c>
      <c r="C36" s="31">
        <f t="shared" si="2"/>
        <v>4742</v>
      </c>
      <c r="D36" s="32"/>
      <c r="E36" s="32"/>
      <c r="F36" s="32"/>
      <c r="G36" s="32"/>
      <c r="H36" s="32"/>
      <c r="I36" s="32"/>
      <c r="J36" s="32"/>
      <c r="K36" s="32"/>
      <c r="L36" s="32"/>
      <c r="M36" s="32"/>
      <c r="N36" s="32"/>
      <c r="O36" s="32"/>
      <c r="P36" s="32">
        <v>4742</v>
      </c>
      <c r="Q36" s="32"/>
      <c r="R36" s="32"/>
      <c r="S36" s="32">
        <f>214</f>
        <v>214</v>
      </c>
      <c r="T36" s="32"/>
      <c r="U36" s="11"/>
      <c r="V36" s="11"/>
      <c r="W36" s="11"/>
      <c r="X36" s="11"/>
      <c r="Y36" s="11"/>
      <c r="Z36" s="11"/>
      <c r="AA36" s="11"/>
      <c r="AB36" s="11"/>
    </row>
    <row r="37" spans="1:28" ht="18.75" customHeight="1">
      <c r="A37" s="29">
        <v>27</v>
      </c>
      <c r="B37" s="30" t="s">
        <v>55</v>
      </c>
      <c r="C37" s="31">
        <f t="shared" si="2"/>
        <v>2679</v>
      </c>
      <c r="D37" s="32"/>
      <c r="E37" s="32"/>
      <c r="F37" s="32"/>
      <c r="G37" s="32"/>
      <c r="H37" s="32"/>
      <c r="I37" s="32"/>
      <c r="J37" s="32"/>
      <c r="K37" s="32"/>
      <c r="L37" s="32"/>
      <c r="M37" s="32"/>
      <c r="N37" s="32"/>
      <c r="O37" s="32"/>
      <c r="P37" s="32">
        <v>2679</v>
      </c>
      <c r="Q37" s="32"/>
      <c r="R37" s="32"/>
      <c r="S37" s="32">
        <f>123</f>
        <v>123</v>
      </c>
      <c r="T37" s="32"/>
      <c r="U37" s="11"/>
      <c r="V37" s="11"/>
      <c r="W37" s="11"/>
      <c r="X37" s="11"/>
      <c r="Y37" s="11"/>
      <c r="Z37" s="11"/>
      <c r="AA37" s="11"/>
      <c r="AB37" s="11"/>
    </row>
    <row r="38" spans="1:28" ht="18.75" customHeight="1">
      <c r="A38" s="29">
        <v>28</v>
      </c>
      <c r="B38" s="30" t="s">
        <v>56</v>
      </c>
      <c r="C38" s="31">
        <f t="shared" si="2"/>
        <v>24721</v>
      </c>
      <c r="D38" s="32">
        <v>24721</v>
      </c>
      <c r="E38" s="32"/>
      <c r="F38" s="32"/>
      <c r="G38" s="32"/>
      <c r="H38" s="32"/>
      <c r="I38" s="32"/>
      <c r="J38" s="32"/>
      <c r="K38" s="32"/>
      <c r="L38" s="32"/>
      <c r="M38" s="32"/>
      <c r="N38" s="32"/>
      <c r="O38" s="32"/>
      <c r="P38" s="32"/>
      <c r="Q38" s="32"/>
      <c r="R38" s="32"/>
      <c r="S38" s="32">
        <v>507</v>
      </c>
      <c r="T38" s="32">
        <v>3735</v>
      </c>
      <c r="U38" s="11"/>
      <c r="V38" s="11"/>
      <c r="W38" s="11"/>
      <c r="X38" s="11"/>
      <c r="Y38" s="11"/>
      <c r="Z38" s="11"/>
      <c r="AA38" s="11"/>
      <c r="AB38" s="11"/>
    </row>
    <row r="39" spans="1:28" ht="18.75" customHeight="1">
      <c r="A39" s="29">
        <v>29</v>
      </c>
      <c r="B39" s="30" t="s">
        <v>57</v>
      </c>
      <c r="C39" s="31">
        <f t="shared" si="2"/>
        <v>12017</v>
      </c>
      <c r="D39" s="32">
        <v>12017</v>
      </c>
      <c r="E39" s="32"/>
      <c r="F39" s="32"/>
      <c r="G39" s="32"/>
      <c r="H39" s="32"/>
      <c r="I39" s="32"/>
      <c r="J39" s="32"/>
      <c r="K39" s="32"/>
      <c r="L39" s="32"/>
      <c r="M39" s="32"/>
      <c r="N39" s="32"/>
      <c r="O39" s="32"/>
      <c r="P39" s="32"/>
      <c r="Q39" s="32"/>
      <c r="R39" s="32"/>
      <c r="S39" s="32">
        <v>782</v>
      </c>
      <c r="T39" s="32"/>
      <c r="U39" s="11"/>
      <c r="V39" s="11"/>
      <c r="W39" s="11"/>
      <c r="X39" s="11"/>
      <c r="Y39" s="11"/>
      <c r="Z39" s="11"/>
      <c r="AA39" s="11"/>
      <c r="AB39" s="11"/>
    </row>
    <row r="40" spans="1:28" ht="18.75" customHeight="1">
      <c r="A40" s="29">
        <v>30</v>
      </c>
      <c r="B40" s="30" t="s">
        <v>58</v>
      </c>
      <c r="C40" s="31">
        <f t="shared" si="2"/>
        <v>33333</v>
      </c>
      <c r="D40" s="32"/>
      <c r="E40" s="32"/>
      <c r="F40" s="32">
        <v>33333</v>
      </c>
      <c r="G40" s="32"/>
      <c r="H40" s="32"/>
      <c r="I40" s="32"/>
      <c r="J40" s="32"/>
      <c r="K40" s="32"/>
      <c r="L40" s="32"/>
      <c r="M40" s="32"/>
      <c r="N40" s="32"/>
      <c r="O40" s="32"/>
      <c r="P40" s="32"/>
      <c r="Q40" s="32"/>
      <c r="R40" s="32"/>
      <c r="S40" s="32">
        <v>3333</v>
      </c>
      <c r="T40" s="32"/>
      <c r="U40" s="11"/>
      <c r="V40" s="11"/>
      <c r="W40" s="11"/>
      <c r="X40" s="11"/>
      <c r="Y40" s="11"/>
      <c r="Z40" s="11"/>
      <c r="AA40" s="11"/>
      <c r="AB40" s="11"/>
    </row>
    <row r="41" spans="1:28" ht="18.75" customHeight="1">
      <c r="A41" s="29">
        <v>31</v>
      </c>
      <c r="B41" s="30" t="s">
        <v>59</v>
      </c>
      <c r="C41" s="31">
        <f t="shared" si="2"/>
        <v>3889</v>
      </c>
      <c r="D41" s="32"/>
      <c r="E41" s="32"/>
      <c r="F41" s="32">
        <v>3889</v>
      </c>
      <c r="G41" s="32"/>
      <c r="H41" s="32"/>
      <c r="I41" s="32"/>
      <c r="J41" s="32"/>
      <c r="K41" s="32"/>
      <c r="L41" s="32"/>
      <c r="M41" s="32"/>
      <c r="N41" s="32"/>
      <c r="O41" s="32"/>
      <c r="P41" s="32"/>
      <c r="Q41" s="32"/>
      <c r="R41" s="32"/>
      <c r="S41" s="32">
        <v>389</v>
      </c>
      <c r="T41" s="32"/>
      <c r="U41" s="11"/>
      <c r="V41" s="11"/>
      <c r="W41" s="11"/>
      <c r="X41" s="11"/>
      <c r="Y41" s="11"/>
      <c r="Z41" s="11"/>
      <c r="AA41" s="11"/>
      <c r="AB41" s="11"/>
    </row>
    <row r="42" spans="1:28" ht="18.75" customHeight="1">
      <c r="A42" s="29">
        <v>32</v>
      </c>
      <c r="B42" s="30" t="s">
        <v>60</v>
      </c>
      <c r="C42" s="31">
        <f t="shared" si="2"/>
        <v>5756</v>
      </c>
      <c r="D42" s="32">
        <v>340</v>
      </c>
      <c r="E42" s="32"/>
      <c r="F42" s="32"/>
      <c r="G42" s="32">
        <v>4394</v>
      </c>
      <c r="H42" s="32"/>
      <c r="I42" s="32"/>
      <c r="J42" s="32"/>
      <c r="K42" s="32"/>
      <c r="L42" s="32">
        <v>1022</v>
      </c>
      <c r="M42" s="32"/>
      <c r="N42" s="32"/>
      <c r="O42" s="32"/>
      <c r="P42" s="32"/>
      <c r="Q42" s="32"/>
      <c r="R42" s="32"/>
      <c r="S42" s="32">
        <f>102+439</f>
        <v>541</v>
      </c>
      <c r="T42" s="32"/>
      <c r="U42" s="11"/>
      <c r="V42" s="11"/>
      <c r="W42" s="11"/>
      <c r="X42" s="11"/>
      <c r="Y42" s="11"/>
      <c r="Z42" s="11"/>
      <c r="AA42" s="11"/>
      <c r="AB42" s="11"/>
    </row>
    <row r="43" spans="1:28" ht="37.5" customHeight="1">
      <c r="A43" s="29">
        <v>33</v>
      </c>
      <c r="B43" s="30" t="s">
        <v>61</v>
      </c>
      <c r="C43" s="31">
        <f t="shared" si="2"/>
        <v>1947</v>
      </c>
      <c r="D43" s="32"/>
      <c r="E43" s="32"/>
      <c r="F43" s="32"/>
      <c r="G43" s="32"/>
      <c r="H43" s="32"/>
      <c r="I43" s="32">
        <v>1947</v>
      </c>
      <c r="J43" s="32"/>
      <c r="K43" s="32"/>
      <c r="L43" s="32"/>
      <c r="M43" s="32"/>
      <c r="N43" s="32"/>
      <c r="O43" s="32"/>
      <c r="P43" s="32"/>
      <c r="Q43" s="32"/>
      <c r="R43" s="32"/>
      <c r="S43" s="32">
        <v>131</v>
      </c>
      <c r="T43" s="32"/>
      <c r="U43" s="11"/>
      <c r="V43" s="11"/>
      <c r="W43" s="11"/>
      <c r="X43" s="11"/>
      <c r="Y43" s="11"/>
      <c r="Z43" s="11"/>
      <c r="AA43" s="11"/>
      <c r="AB43" s="11"/>
    </row>
    <row r="44" spans="1:28" ht="18.75" customHeight="1">
      <c r="A44" s="29">
        <v>34</v>
      </c>
      <c r="B44" s="30" t="s">
        <v>63</v>
      </c>
      <c r="C44" s="31">
        <f t="shared" si="2"/>
        <v>688</v>
      </c>
      <c r="D44" s="32"/>
      <c r="E44" s="32"/>
      <c r="F44" s="32"/>
      <c r="G44" s="32"/>
      <c r="H44" s="32"/>
      <c r="I44" s="32"/>
      <c r="J44" s="32"/>
      <c r="K44" s="32"/>
      <c r="L44" s="32"/>
      <c r="M44" s="32"/>
      <c r="N44" s="32"/>
      <c r="O44" s="32"/>
      <c r="P44" s="32">
        <v>688</v>
      </c>
      <c r="Q44" s="32"/>
      <c r="R44" s="32"/>
      <c r="S44" s="32">
        <v>26</v>
      </c>
      <c r="T44" s="32"/>
      <c r="U44" s="11"/>
      <c r="V44" s="11"/>
      <c r="W44" s="11"/>
      <c r="X44" s="11"/>
      <c r="Y44" s="11"/>
      <c r="Z44" s="11"/>
      <c r="AA44" s="11"/>
      <c r="AB44" s="11"/>
    </row>
    <row r="45" spans="1:28" ht="18.75" customHeight="1">
      <c r="A45" s="29">
        <v>35</v>
      </c>
      <c r="B45" s="30" t="s">
        <v>64</v>
      </c>
      <c r="C45" s="31">
        <f t="shared" si="2"/>
        <v>2339</v>
      </c>
      <c r="D45" s="32">
        <v>2</v>
      </c>
      <c r="E45" s="32"/>
      <c r="F45" s="32"/>
      <c r="G45" s="32"/>
      <c r="H45" s="32"/>
      <c r="I45" s="32"/>
      <c r="J45" s="32"/>
      <c r="K45" s="32"/>
      <c r="L45" s="32"/>
      <c r="M45" s="32"/>
      <c r="N45" s="32"/>
      <c r="O45" s="32"/>
      <c r="P45" s="32">
        <v>2337</v>
      </c>
      <c r="Q45" s="32"/>
      <c r="R45" s="32"/>
      <c r="S45" s="32">
        <v>130</v>
      </c>
      <c r="T45" s="32"/>
      <c r="U45" s="11"/>
      <c r="V45" s="11"/>
      <c r="W45" s="11"/>
      <c r="X45" s="11"/>
      <c r="Y45" s="11"/>
      <c r="Z45" s="11"/>
      <c r="AA45" s="11"/>
      <c r="AB45" s="11"/>
    </row>
    <row r="46" spans="1:28" ht="18.75" customHeight="1">
      <c r="A46" s="29">
        <v>36</v>
      </c>
      <c r="B46" s="30" t="s">
        <v>65</v>
      </c>
      <c r="C46" s="31">
        <f t="shared" si="2"/>
        <v>953</v>
      </c>
      <c r="D46" s="32"/>
      <c r="E46" s="32"/>
      <c r="F46" s="32"/>
      <c r="G46" s="32"/>
      <c r="H46" s="32"/>
      <c r="I46" s="32"/>
      <c r="J46" s="32"/>
      <c r="K46" s="32"/>
      <c r="L46" s="32"/>
      <c r="M46" s="32"/>
      <c r="N46" s="32"/>
      <c r="O46" s="32"/>
      <c r="P46" s="32">
        <v>953</v>
      </c>
      <c r="Q46" s="32"/>
      <c r="R46" s="32"/>
      <c r="S46" s="32">
        <v>30</v>
      </c>
      <c r="T46" s="32"/>
      <c r="U46" s="11"/>
      <c r="V46" s="11"/>
      <c r="W46" s="11"/>
      <c r="X46" s="11"/>
      <c r="Y46" s="11"/>
      <c r="Z46" s="11"/>
      <c r="AA46" s="11"/>
      <c r="AB46" s="11"/>
    </row>
    <row r="47" spans="1:28" ht="18.75" customHeight="1">
      <c r="A47" s="29">
        <v>37</v>
      </c>
      <c r="B47" s="30" t="s">
        <v>74</v>
      </c>
      <c r="C47" s="31">
        <f t="shared" si="2"/>
        <v>365</v>
      </c>
      <c r="D47" s="32"/>
      <c r="E47" s="32"/>
      <c r="F47" s="32"/>
      <c r="G47" s="32"/>
      <c r="H47" s="32"/>
      <c r="I47" s="32"/>
      <c r="J47" s="32"/>
      <c r="K47" s="32"/>
      <c r="L47" s="32"/>
      <c r="M47" s="32"/>
      <c r="N47" s="32"/>
      <c r="O47" s="32"/>
      <c r="P47" s="32">
        <v>365</v>
      </c>
      <c r="Q47" s="32"/>
      <c r="R47" s="32"/>
      <c r="S47" s="32">
        <v>12</v>
      </c>
      <c r="T47" s="32"/>
      <c r="U47" s="11"/>
      <c r="V47" s="11"/>
      <c r="W47" s="11"/>
      <c r="X47" s="11"/>
      <c r="Y47" s="11"/>
      <c r="Z47" s="11"/>
      <c r="AA47" s="11"/>
      <c r="AB47" s="11"/>
    </row>
    <row r="48" spans="1:28" ht="18.75" customHeight="1">
      <c r="A48" s="29">
        <v>38</v>
      </c>
      <c r="B48" s="30" t="s">
        <v>66</v>
      </c>
      <c r="C48" s="31">
        <f t="shared" si="2"/>
        <v>1559</v>
      </c>
      <c r="D48" s="32"/>
      <c r="E48" s="32"/>
      <c r="F48" s="32"/>
      <c r="G48" s="32"/>
      <c r="H48" s="32"/>
      <c r="I48" s="32"/>
      <c r="J48" s="32"/>
      <c r="K48" s="32"/>
      <c r="L48" s="32"/>
      <c r="M48" s="32"/>
      <c r="N48" s="32"/>
      <c r="O48" s="32"/>
      <c r="P48" s="32">
        <v>1559</v>
      </c>
      <c r="Q48" s="32"/>
      <c r="R48" s="32"/>
      <c r="S48" s="32">
        <v>66</v>
      </c>
      <c r="T48" s="32"/>
      <c r="U48" s="11"/>
      <c r="V48" s="11"/>
      <c r="W48" s="11"/>
      <c r="X48" s="11"/>
      <c r="Y48" s="11"/>
      <c r="Z48" s="11"/>
      <c r="AA48" s="11"/>
      <c r="AB48" s="11"/>
    </row>
    <row r="49" spans="1:28" ht="18.75" customHeight="1">
      <c r="A49" s="29">
        <v>39</v>
      </c>
      <c r="B49" s="30" t="s">
        <v>67</v>
      </c>
      <c r="C49" s="31">
        <f t="shared" si="2"/>
        <v>2422</v>
      </c>
      <c r="D49" s="32"/>
      <c r="E49" s="32">
        <v>1020</v>
      </c>
      <c r="F49" s="32"/>
      <c r="G49" s="32"/>
      <c r="H49" s="32"/>
      <c r="I49" s="32"/>
      <c r="J49" s="32"/>
      <c r="K49" s="32"/>
      <c r="L49" s="32"/>
      <c r="M49" s="32"/>
      <c r="N49" s="32"/>
      <c r="O49" s="32"/>
      <c r="P49" s="32">
        <v>1402</v>
      </c>
      <c r="Q49" s="32"/>
      <c r="R49" s="32"/>
      <c r="S49" s="32">
        <f>85+102</f>
        <v>187</v>
      </c>
      <c r="T49" s="32"/>
      <c r="U49" s="11"/>
      <c r="V49" s="11"/>
      <c r="W49" s="11"/>
      <c r="X49" s="11"/>
      <c r="Y49" s="11"/>
      <c r="Z49" s="11"/>
      <c r="AA49" s="11"/>
      <c r="AB49" s="11"/>
    </row>
    <row r="50" spans="1:28" ht="18.75" customHeight="1">
      <c r="A50" s="29">
        <v>40</v>
      </c>
      <c r="B50" s="30" t="s">
        <v>62</v>
      </c>
      <c r="C50" s="31">
        <f t="shared" si="2"/>
        <v>1418</v>
      </c>
      <c r="D50" s="32"/>
      <c r="E50" s="32"/>
      <c r="F50" s="32"/>
      <c r="G50" s="32"/>
      <c r="H50" s="32"/>
      <c r="I50" s="32"/>
      <c r="J50" s="32"/>
      <c r="K50" s="32"/>
      <c r="L50" s="32"/>
      <c r="M50" s="32"/>
      <c r="N50" s="32"/>
      <c r="O50" s="32"/>
      <c r="P50" s="32">
        <v>1418</v>
      </c>
      <c r="Q50" s="32"/>
      <c r="R50" s="32"/>
      <c r="S50" s="32">
        <v>28</v>
      </c>
      <c r="T50" s="32"/>
      <c r="U50" s="11"/>
      <c r="V50" s="11"/>
      <c r="W50" s="11"/>
      <c r="X50" s="11"/>
      <c r="Y50" s="11"/>
      <c r="Z50" s="11"/>
      <c r="AA50" s="11"/>
      <c r="AB50" s="11"/>
    </row>
    <row r="51" spans="1:28" ht="18.75" customHeight="1">
      <c r="A51" s="29">
        <v>41</v>
      </c>
      <c r="B51" s="30" t="s">
        <v>68</v>
      </c>
      <c r="C51" s="31">
        <f t="shared" si="2"/>
        <v>516</v>
      </c>
      <c r="D51" s="32"/>
      <c r="E51" s="32"/>
      <c r="F51" s="32"/>
      <c r="G51" s="32"/>
      <c r="H51" s="32"/>
      <c r="I51" s="32"/>
      <c r="J51" s="32"/>
      <c r="K51" s="32"/>
      <c r="L51" s="32"/>
      <c r="M51" s="32"/>
      <c r="N51" s="32"/>
      <c r="O51" s="32"/>
      <c r="P51" s="32">
        <v>516</v>
      </c>
      <c r="Q51" s="32"/>
      <c r="R51" s="32"/>
      <c r="S51" s="32">
        <v>7</v>
      </c>
      <c r="T51" s="32"/>
      <c r="U51" s="11"/>
      <c r="V51" s="11"/>
      <c r="W51" s="11"/>
      <c r="X51" s="11"/>
      <c r="Y51" s="11"/>
      <c r="Z51" s="11"/>
      <c r="AA51" s="11"/>
      <c r="AB51" s="11"/>
    </row>
    <row r="52" spans="1:28" ht="18.75" customHeight="1">
      <c r="A52" s="29">
        <v>42</v>
      </c>
      <c r="B52" s="30" t="s">
        <v>69</v>
      </c>
      <c r="C52" s="31">
        <f t="shared" si="2"/>
        <v>277</v>
      </c>
      <c r="D52" s="32"/>
      <c r="E52" s="32"/>
      <c r="F52" s="32"/>
      <c r="G52" s="32"/>
      <c r="H52" s="32"/>
      <c r="I52" s="32"/>
      <c r="J52" s="32"/>
      <c r="K52" s="32"/>
      <c r="L52" s="32"/>
      <c r="M52" s="32"/>
      <c r="N52" s="32"/>
      <c r="O52" s="32"/>
      <c r="P52" s="32">
        <v>277</v>
      </c>
      <c r="Q52" s="32"/>
      <c r="R52" s="32"/>
      <c r="S52" s="32">
        <v>56</v>
      </c>
      <c r="T52" s="32"/>
      <c r="U52" s="11"/>
      <c r="V52" s="11"/>
      <c r="W52" s="11"/>
      <c r="X52" s="11"/>
      <c r="Y52" s="11"/>
      <c r="Z52" s="11"/>
      <c r="AA52" s="11"/>
      <c r="AB52" s="11"/>
    </row>
    <row r="53" spans="1:28" ht="18.75" customHeight="1">
      <c r="A53" s="29">
        <v>43</v>
      </c>
      <c r="B53" s="30" t="s">
        <v>70</v>
      </c>
      <c r="C53" s="31">
        <f t="shared" si="2"/>
        <v>769</v>
      </c>
      <c r="D53" s="32"/>
      <c r="E53" s="32"/>
      <c r="F53" s="32"/>
      <c r="G53" s="32"/>
      <c r="H53" s="32"/>
      <c r="I53" s="32"/>
      <c r="J53" s="32"/>
      <c r="K53" s="32"/>
      <c r="L53" s="32"/>
      <c r="M53" s="32"/>
      <c r="N53" s="32"/>
      <c r="O53" s="32"/>
      <c r="P53" s="32">
        <v>769</v>
      </c>
      <c r="Q53" s="32"/>
      <c r="R53" s="32"/>
      <c r="S53" s="32">
        <v>13</v>
      </c>
      <c r="T53" s="32"/>
      <c r="U53" s="11"/>
      <c r="V53" s="11"/>
      <c r="W53" s="11"/>
      <c r="X53" s="11"/>
      <c r="Y53" s="11"/>
      <c r="Z53" s="11"/>
      <c r="AA53" s="11"/>
      <c r="AB53" s="11"/>
    </row>
    <row r="54" spans="1:28" ht="18.75" customHeight="1">
      <c r="A54" s="29">
        <v>44</v>
      </c>
      <c r="B54" s="30" t="s">
        <v>71</v>
      </c>
      <c r="C54" s="31">
        <f t="shared" si="2"/>
        <v>713</v>
      </c>
      <c r="D54" s="32"/>
      <c r="E54" s="32"/>
      <c r="F54" s="32"/>
      <c r="G54" s="32"/>
      <c r="H54" s="32"/>
      <c r="I54" s="32"/>
      <c r="J54" s="32"/>
      <c r="K54" s="32"/>
      <c r="L54" s="32"/>
      <c r="M54" s="32"/>
      <c r="N54" s="32"/>
      <c r="O54" s="32"/>
      <c r="P54" s="32">
        <v>713</v>
      </c>
      <c r="Q54" s="32"/>
      <c r="R54" s="32"/>
      <c r="S54" s="32">
        <v>8</v>
      </c>
      <c r="T54" s="32"/>
      <c r="U54" s="11"/>
      <c r="V54" s="11"/>
      <c r="W54" s="11"/>
      <c r="X54" s="11"/>
      <c r="Y54" s="11"/>
      <c r="Z54" s="11"/>
      <c r="AA54" s="11"/>
      <c r="AB54" s="11"/>
    </row>
    <row r="55" spans="1:28" ht="18.75" customHeight="1">
      <c r="A55" s="29">
        <v>45</v>
      </c>
      <c r="B55" s="30" t="s">
        <v>72</v>
      </c>
      <c r="C55" s="31">
        <f t="shared" si="2"/>
        <v>285</v>
      </c>
      <c r="D55" s="32"/>
      <c r="E55" s="32"/>
      <c r="F55" s="32"/>
      <c r="G55" s="32"/>
      <c r="H55" s="32"/>
      <c r="I55" s="32"/>
      <c r="J55" s="32"/>
      <c r="K55" s="32"/>
      <c r="L55" s="32"/>
      <c r="M55" s="32"/>
      <c r="N55" s="32"/>
      <c r="O55" s="32"/>
      <c r="P55" s="32">
        <v>285</v>
      </c>
      <c r="Q55" s="32"/>
      <c r="R55" s="32"/>
      <c r="S55" s="32">
        <v>16</v>
      </c>
      <c r="T55" s="32"/>
      <c r="U55" s="11"/>
      <c r="V55" s="11"/>
      <c r="W55" s="11"/>
      <c r="X55" s="11"/>
      <c r="Y55" s="11"/>
      <c r="Z55" s="11"/>
      <c r="AA55" s="11"/>
      <c r="AB55" s="11"/>
    </row>
    <row r="56" spans="1:28" ht="18.75" customHeight="1">
      <c r="A56" s="29">
        <v>46</v>
      </c>
      <c r="B56" s="30" t="s">
        <v>73</v>
      </c>
      <c r="C56" s="31">
        <f t="shared" si="2"/>
        <v>370</v>
      </c>
      <c r="D56" s="32"/>
      <c r="E56" s="32"/>
      <c r="F56" s="32"/>
      <c r="G56" s="32"/>
      <c r="H56" s="32"/>
      <c r="I56" s="32"/>
      <c r="J56" s="32"/>
      <c r="K56" s="32"/>
      <c r="L56" s="32"/>
      <c r="M56" s="32"/>
      <c r="N56" s="32"/>
      <c r="O56" s="32"/>
      <c r="P56" s="32">
        <v>370</v>
      </c>
      <c r="Q56" s="32"/>
      <c r="R56" s="32"/>
      <c r="S56" s="32">
        <v>104</v>
      </c>
      <c r="T56" s="32"/>
      <c r="U56" s="11"/>
      <c r="V56" s="11"/>
      <c r="W56" s="11"/>
      <c r="X56" s="11"/>
      <c r="Y56" s="11"/>
      <c r="Z56" s="11"/>
      <c r="AA56" s="11"/>
      <c r="AB56" s="11"/>
    </row>
    <row r="57" spans="1:28" ht="18.75" customHeight="1">
      <c r="A57" s="29">
        <v>47</v>
      </c>
      <c r="B57" s="30" t="s">
        <v>75</v>
      </c>
      <c r="C57" s="31">
        <f t="shared" si="2"/>
        <v>270</v>
      </c>
      <c r="D57" s="32"/>
      <c r="E57" s="32"/>
      <c r="F57" s="32"/>
      <c r="G57" s="32"/>
      <c r="H57" s="32"/>
      <c r="I57" s="32"/>
      <c r="J57" s="32"/>
      <c r="K57" s="32"/>
      <c r="L57" s="32"/>
      <c r="M57" s="32"/>
      <c r="N57" s="32"/>
      <c r="O57" s="32"/>
      <c r="P57" s="32">
        <v>270</v>
      </c>
      <c r="Q57" s="32"/>
      <c r="R57" s="32"/>
      <c r="S57" s="32">
        <v>6</v>
      </c>
      <c r="T57" s="32"/>
      <c r="U57" s="11"/>
      <c r="V57" s="11"/>
      <c r="W57" s="11"/>
      <c r="X57" s="11"/>
      <c r="Y57" s="11"/>
      <c r="Z57" s="11"/>
      <c r="AA57" s="11"/>
      <c r="AB57" s="11"/>
    </row>
    <row r="58" spans="1:28" ht="18.75" customHeight="1">
      <c r="A58" s="29">
        <v>48</v>
      </c>
      <c r="B58" s="30" t="s">
        <v>76</v>
      </c>
      <c r="C58" s="31">
        <f t="shared" si="2"/>
        <v>184</v>
      </c>
      <c r="D58" s="32"/>
      <c r="E58" s="32"/>
      <c r="F58" s="32"/>
      <c r="G58" s="32"/>
      <c r="H58" s="32"/>
      <c r="I58" s="32"/>
      <c r="J58" s="32"/>
      <c r="K58" s="32"/>
      <c r="L58" s="32"/>
      <c r="M58" s="32"/>
      <c r="N58" s="32"/>
      <c r="O58" s="32"/>
      <c r="P58" s="32">
        <v>184</v>
      </c>
      <c r="Q58" s="32"/>
      <c r="R58" s="32"/>
      <c r="S58" s="32"/>
      <c r="T58" s="32"/>
      <c r="U58" s="11"/>
      <c r="V58" s="11"/>
      <c r="W58" s="11"/>
      <c r="X58" s="11"/>
      <c r="Y58" s="11"/>
      <c r="Z58" s="11"/>
      <c r="AA58" s="11"/>
      <c r="AB58" s="11"/>
    </row>
    <row r="59" spans="1:28" ht="18.75" customHeight="1">
      <c r="A59" s="29">
        <v>49</v>
      </c>
      <c r="B59" s="33" t="s">
        <v>77</v>
      </c>
      <c r="C59" s="31">
        <f t="shared" si="2"/>
        <v>161</v>
      </c>
      <c r="D59" s="32"/>
      <c r="E59" s="32"/>
      <c r="F59" s="32"/>
      <c r="G59" s="32"/>
      <c r="H59" s="32"/>
      <c r="I59" s="32"/>
      <c r="J59" s="32"/>
      <c r="K59" s="32"/>
      <c r="L59" s="32"/>
      <c r="M59" s="32"/>
      <c r="N59" s="32"/>
      <c r="O59" s="32"/>
      <c r="P59" s="32">
        <v>161</v>
      </c>
      <c r="Q59" s="32"/>
      <c r="R59" s="32"/>
      <c r="S59" s="32"/>
      <c r="T59" s="32"/>
      <c r="U59" s="3"/>
      <c r="V59" s="3"/>
      <c r="W59" s="3"/>
      <c r="X59" s="3"/>
      <c r="Y59" s="3"/>
      <c r="Z59" s="3"/>
      <c r="AA59" s="3"/>
      <c r="AB59" s="3"/>
    </row>
    <row r="60" spans="1:28" ht="37.5" customHeight="1">
      <c r="A60" s="26" t="s">
        <v>78</v>
      </c>
      <c r="B60" s="27" t="s">
        <v>79</v>
      </c>
      <c r="C60" s="28">
        <f t="shared" si="2"/>
        <v>500399</v>
      </c>
      <c r="D60" s="34">
        <f t="shared" ref="D60:T60" si="4">SUM(D61:D92)</f>
        <v>105039</v>
      </c>
      <c r="E60" s="34">
        <f t="shared" si="4"/>
        <v>0</v>
      </c>
      <c r="F60" s="34">
        <f t="shared" si="4"/>
        <v>12557</v>
      </c>
      <c r="G60" s="34">
        <f t="shared" si="4"/>
        <v>9500</v>
      </c>
      <c r="H60" s="34">
        <f t="shared" si="4"/>
        <v>227993</v>
      </c>
      <c r="I60" s="34">
        <f t="shared" si="4"/>
        <v>0</v>
      </c>
      <c r="J60" s="34">
        <f t="shared" si="4"/>
        <v>0</v>
      </c>
      <c r="K60" s="34">
        <f t="shared" si="4"/>
        <v>0</v>
      </c>
      <c r="L60" s="34">
        <f t="shared" si="4"/>
        <v>0</v>
      </c>
      <c r="M60" s="34">
        <f t="shared" si="4"/>
        <v>93631</v>
      </c>
      <c r="N60" s="34">
        <f t="shared" si="4"/>
        <v>0</v>
      </c>
      <c r="O60" s="34">
        <f t="shared" si="4"/>
        <v>56548</v>
      </c>
      <c r="P60" s="34">
        <f t="shared" si="4"/>
        <v>9816</v>
      </c>
      <c r="Q60" s="34">
        <f t="shared" si="4"/>
        <v>12100</v>
      </c>
      <c r="R60" s="34">
        <f t="shared" si="4"/>
        <v>29763</v>
      </c>
      <c r="S60" s="34">
        <f t="shared" si="4"/>
        <v>4667</v>
      </c>
      <c r="T60" s="34">
        <f t="shared" si="4"/>
        <v>0</v>
      </c>
      <c r="U60" s="3"/>
      <c r="V60" s="3"/>
      <c r="W60" s="3"/>
      <c r="X60" s="3"/>
      <c r="Y60" s="3"/>
      <c r="Z60" s="3"/>
      <c r="AA60" s="3"/>
      <c r="AB60" s="3"/>
    </row>
    <row r="61" spans="1:28" ht="33">
      <c r="A61" s="29">
        <v>1</v>
      </c>
      <c r="B61" s="30" t="s">
        <v>118</v>
      </c>
      <c r="C61" s="31">
        <f t="shared" si="2"/>
        <v>97795</v>
      </c>
      <c r="D61" s="32">
        <v>84000</v>
      </c>
      <c r="E61" s="32"/>
      <c r="F61" s="32"/>
      <c r="G61" s="32"/>
      <c r="H61" s="32">
        <v>4115</v>
      </c>
      <c r="I61" s="32"/>
      <c r="J61" s="32"/>
      <c r="K61" s="32"/>
      <c r="L61" s="32"/>
      <c r="M61" s="32">
        <v>1864</v>
      </c>
      <c r="N61" s="32"/>
      <c r="O61" s="32">
        <v>1864</v>
      </c>
      <c r="P61" s="32">
        <v>7816</v>
      </c>
      <c r="Q61" s="32"/>
      <c r="R61" s="32"/>
      <c r="S61" s="32"/>
      <c r="T61" s="32"/>
      <c r="U61" s="3"/>
      <c r="V61" s="3"/>
      <c r="W61" s="3"/>
      <c r="X61" s="3"/>
      <c r="Y61" s="3"/>
      <c r="Z61" s="3"/>
      <c r="AA61" s="3"/>
      <c r="AB61" s="3"/>
    </row>
    <row r="62" spans="1:28" ht="33">
      <c r="A62" s="29">
        <v>2</v>
      </c>
      <c r="B62" s="30" t="s">
        <v>89</v>
      </c>
      <c r="C62" s="31">
        <f>SUM(D62:M62)+P62+Q62+R62</f>
        <v>2000</v>
      </c>
      <c r="D62" s="32"/>
      <c r="E62" s="32"/>
      <c r="F62" s="32"/>
      <c r="G62" s="32"/>
      <c r="H62" s="32"/>
      <c r="I62" s="32"/>
      <c r="J62" s="32"/>
      <c r="K62" s="32"/>
      <c r="L62" s="32"/>
      <c r="M62" s="32"/>
      <c r="N62" s="32"/>
      <c r="O62" s="32"/>
      <c r="P62" s="32">
        <v>2000</v>
      </c>
      <c r="Q62" s="32"/>
      <c r="R62" s="32"/>
      <c r="S62" s="32"/>
      <c r="T62" s="32"/>
      <c r="U62" s="3"/>
      <c r="V62" s="3"/>
      <c r="W62" s="3"/>
      <c r="X62" s="3"/>
      <c r="Y62" s="3"/>
      <c r="Z62" s="3"/>
      <c r="AA62" s="3"/>
      <c r="AB62" s="3"/>
    </row>
    <row r="63" spans="1:28" ht="33">
      <c r="A63" s="29">
        <v>3</v>
      </c>
      <c r="B63" s="30" t="s">
        <v>103</v>
      </c>
      <c r="C63" s="31">
        <f t="shared" si="2"/>
        <v>5000</v>
      </c>
      <c r="D63" s="32">
        <v>5000</v>
      </c>
      <c r="E63" s="32"/>
      <c r="F63" s="32"/>
      <c r="G63" s="32"/>
      <c r="H63" s="32"/>
      <c r="I63" s="32"/>
      <c r="J63" s="32"/>
      <c r="K63" s="32"/>
      <c r="L63" s="32"/>
      <c r="M63" s="32"/>
      <c r="N63" s="32"/>
      <c r="O63" s="32"/>
      <c r="P63" s="32"/>
      <c r="Q63" s="32"/>
      <c r="R63" s="32"/>
      <c r="S63" s="32">
        <v>500</v>
      </c>
      <c r="T63" s="32"/>
      <c r="U63" s="3"/>
      <c r="V63" s="3"/>
      <c r="W63" s="3"/>
      <c r="X63" s="3"/>
      <c r="Y63" s="3"/>
      <c r="Z63" s="3"/>
      <c r="AA63" s="3"/>
      <c r="AB63" s="3"/>
    </row>
    <row r="64" spans="1:28" ht="16.5">
      <c r="A64" s="29">
        <v>4</v>
      </c>
      <c r="B64" s="30" t="s">
        <v>104</v>
      </c>
      <c r="C64" s="31">
        <f t="shared" si="2"/>
        <v>583</v>
      </c>
      <c r="D64" s="32">
        <v>583</v>
      </c>
      <c r="E64" s="32"/>
      <c r="F64" s="32"/>
      <c r="G64" s="32"/>
      <c r="H64" s="32"/>
      <c r="I64" s="32"/>
      <c r="J64" s="32"/>
      <c r="K64" s="32"/>
      <c r="L64" s="32"/>
      <c r="M64" s="32"/>
      <c r="N64" s="32"/>
      <c r="O64" s="32"/>
      <c r="P64" s="32"/>
      <c r="Q64" s="32"/>
      <c r="R64" s="32"/>
      <c r="S64" s="32"/>
      <c r="T64" s="32"/>
      <c r="U64" s="3"/>
      <c r="V64" s="3"/>
      <c r="W64" s="3"/>
      <c r="X64" s="3"/>
      <c r="Y64" s="3"/>
      <c r="Z64" s="3"/>
      <c r="AA64" s="3"/>
      <c r="AB64" s="3"/>
    </row>
    <row r="65" spans="1:28" ht="39.75" customHeight="1">
      <c r="A65" s="29">
        <v>5</v>
      </c>
      <c r="B65" s="30" t="s">
        <v>105</v>
      </c>
      <c r="C65" s="31">
        <f t="shared" si="2"/>
        <v>5556</v>
      </c>
      <c r="D65" s="32">
        <v>5556</v>
      </c>
      <c r="E65" s="32"/>
      <c r="F65" s="32"/>
      <c r="G65" s="32"/>
      <c r="H65" s="32"/>
      <c r="I65" s="32"/>
      <c r="J65" s="32"/>
      <c r="K65" s="32"/>
      <c r="L65" s="32"/>
      <c r="M65" s="32"/>
      <c r="N65" s="32"/>
      <c r="O65" s="32"/>
      <c r="P65" s="32"/>
      <c r="Q65" s="32"/>
      <c r="R65" s="32"/>
      <c r="S65" s="32">
        <v>556</v>
      </c>
      <c r="T65" s="32"/>
      <c r="U65" s="3"/>
      <c r="V65" s="3"/>
      <c r="W65" s="3"/>
      <c r="X65" s="3"/>
      <c r="Y65" s="3"/>
      <c r="Z65" s="3"/>
      <c r="AA65" s="3"/>
      <c r="AB65" s="3"/>
    </row>
    <row r="66" spans="1:28" ht="39.75" customHeight="1">
      <c r="A66" s="29">
        <v>6</v>
      </c>
      <c r="B66" s="35" t="s">
        <v>80</v>
      </c>
      <c r="C66" s="31">
        <f t="shared" si="2"/>
        <v>6500</v>
      </c>
      <c r="D66" s="32">
        <v>6500</v>
      </c>
      <c r="E66" s="32"/>
      <c r="F66" s="32"/>
      <c r="G66" s="32"/>
      <c r="H66" s="32"/>
      <c r="I66" s="32"/>
      <c r="J66" s="32"/>
      <c r="K66" s="32"/>
      <c r="L66" s="32"/>
      <c r="M66" s="32"/>
      <c r="N66" s="32"/>
      <c r="O66" s="32"/>
      <c r="P66" s="32"/>
      <c r="Q66" s="32"/>
      <c r="R66" s="32"/>
      <c r="S66" s="32">
        <v>650</v>
      </c>
      <c r="T66" s="32"/>
      <c r="U66" s="3"/>
      <c r="V66" s="3"/>
      <c r="W66" s="3"/>
      <c r="X66" s="3"/>
      <c r="Y66" s="3"/>
      <c r="Z66" s="3"/>
      <c r="AA66" s="3"/>
      <c r="AB66" s="3"/>
    </row>
    <row r="67" spans="1:28" ht="16.5">
      <c r="A67" s="29">
        <v>7</v>
      </c>
      <c r="B67" s="30" t="s">
        <v>81</v>
      </c>
      <c r="C67" s="31">
        <f t="shared" si="2"/>
        <v>700</v>
      </c>
      <c r="D67" s="32">
        <v>700</v>
      </c>
      <c r="E67" s="32"/>
      <c r="F67" s="32"/>
      <c r="G67" s="32"/>
      <c r="H67" s="32"/>
      <c r="I67" s="32"/>
      <c r="J67" s="32"/>
      <c r="K67" s="32"/>
      <c r="L67" s="32"/>
      <c r="M67" s="32"/>
      <c r="N67" s="32"/>
      <c r="O67" s="32"/>
      <c r="P67" s="32"/>
      <c r="Q67" s="32"/>
      <c r="R67" s="32"/>
      <c r="S67" s="32">
        <v>70</v>
      </c>
      <c r="T67" s="32"/>
      <c r="U67" s="3"/>
      <c r="V67" s="3"/>
      <c r="W67" s="3"/>
      <c r="X67" s="3"/>
      <c r="Y67" s="3"/>
      <c r="Z67" s="3"/>
      <c r="AA67" s="3"/>
      <c r="AB67" s="3"/>
    </row>
    <row r="68" spans="1:28" ht="18" customHeight="1">
      <c r="A68" s="29">
        <v>8</v>
      </c>
      <c r="B68" s="30" t="s">
        <v>82</v>
      </c>
      <c r="C68" s="31">
        <f t="shared" si="2"/>
        <v>700</v>
      </c>
      <c r="D68" s="32">
        <v>700</v>
      </c>
      <c r="E68" s="32"/>
      <c r="F68" s="32"/>
      <c r="G68" s="32"/>
      <c r="H68" s="32"/>
      <c r="I68" s="32"/>
      <c r="J68" s="32"/>
      <c r="K68" s="32"/>
      <c r="L68" s="32"/>
      <c r="M68" s="32"/>
      <c r="N68" s="32"/>
      <c r="O68" s="32"/>
      <c r="P68" s="32"/>
      <c r="Q68" s="32"/>
      <c r="R68" s="32"/>
      <c r="S68" s="32"/>
      <c r="T68" s="32"/>
      <c r="U68" s="3"/>
      <c r="V68" s="3"/>
      <c r="W68" s="3"/>
      <c r="X68" s="3"/>
      <c r="Y68" s="3"/>
      <c r="Z68" s="3"/>
      <c r="AA68" s="3"/>
      <c r="AB68" s="3"/>
    </row>
    <row r="69" spans="1:28" ht="18.75" customHeight="1">
      <c r="A69" s="29">
        <v>9</v>
      </c>
      <c r="B69" s="30" t="s">
        <v>83</v>
      </c>
      <c r="C69" s="31">
        <f t="shared" si="2"/>
        <v>2000</v>
      </c>
      <c r="D69" s="32">
        <v>2000</v>
      </c>
      <c r="E69" s="32"/>
      <c r="F69" s="32"/>
      <c r="G69" s="32"/>
      <c r="H69" s="32"/>
      <c r="I69" s="32"/>
      <c r="J69" s="32"/>
      <c r="K69" s="32"/>
      <c r="L69" s="32"/>
      <c r="M69" s="32"/>
      <c r="N69" s="32"/>
      <c r="O69" s="32"/>
      <c r="P69" s="32"/>
      <c r="Q69" s="32"/>
      <c r="R69" s="32"/>
      <c r="S69" s="32"/>
      <c r="T69" s="32"/>
      <c r="U69" s="3"/>
      <c r="V69" s="3"/>
      <c r="W69" s="3"/>
      <c r="X69" s="3"/>
      <c r="Y69" s="3"/>
      <c r="Z69" s="3"/>
      <c r="AA69" s="3"/>
      <c r="AB69" s="3"/>
    </row>
    <row r="70" spans="1:28" ht="18.75" customHeight="1">
      <c r="A70" s="29">
        <v>10</v>
      </c>
      <c r="B70" s="30" t="s">
        <v>84</v>
      </c>
      <c r="C70" s="31">
        <f t="shared" si="2"/>
        <v>190</v>
      </c>
      <c r="D70" s="32"/>
      <c r="E70" s="32"/>
      <c r="F70" s="32"/>
      <c r="G70" s="32"/>
      <c r="H70" s="32">
        <v>190</v>
      </c>
      <c r="I70" s="32"/>
      <c r="J70" s="32"/>
      <c r="K70" s="32"/>
      <c r="L70" s="32"/>
      <c r="M70" s="32"/>
      <c r="N70" s="32"/>
      <c r="O70" s="32"/>
      <c r="P70" s="32"/>
      <c r="Q70" s="32"/>
      <c r="R70" s="32"/>
      <c r="S70" s="32"/>
      <c r="T70" s="32"/>
      <c r="U70" s="3"/>
      <c r="V70" s="3"/>
      <c r="W70" s="3"/>
      <c r="X70" s="3"/>
      <c r="Y70" s="3"/>
      <c r="Z70" s="3"/>
      <c r="AA70" s="3"/>
      <c r="AB70" s="3"/>
    </row>
    <row r="71" spans="1:28" ht="16.5">
      <c r="A71" s="29">
        <v>11</v>
      </c>
      <c r="B71" s="30" t="s">
        <v>85</v>
      </c>
      <c r="C71" s="31">
        <f t="shared" si="2"/>
        <v>76518</v>
      </c>
      <c r="D71" s="32"/>
      <c r="E71" s="32"/>
      <c r="F71" s="32"/>
      <c r="G71" s="32"/>
      <c r="H71" s="32">
        <v>76518</v>
      </c>
      <c r="I71" s="32"/>
      <c r="J71" s="32"/>
      <c r="K71" s="32"/>
      <c r="L71" s="32"/>
      <c r="M71" s="32"/>
      <c r="N71" s="32"/>
      <c r="O71" s="32"/>
      <c r="P71" s="32"/>
      <c r="Q71" s="32"/>
      <c r="R71" s="32"/>
      <c r="S71" s="32"/>
      <c r="T71" s="32"/>
      <c r="U71" s="3"/>
      <c r="V71" s="3"/>
      <c r="W71" s="3"/>
      <c r="X71" s="3"/>
      <c r="Y71" s="3"/>
      <c r="Z71" s="3"/>
      <c r="AA71" s="3"/>
      <c r="AB71" s="3"/>
    </row>
    <row r="72" spans="1:28" ht="66">
      <c r="A72" s="29">
        <v>12</v>
      </c>
      <c r="B72" s="30" t="s">
        <v>86</v>
      </c>
      <c r="C72" s="31">
        <f t="shared" si="2"/>
        <v>109620</v>
      </c>
      <c r="D72" s="32"/>
      <c r="E72" s="32"/>
      <c r="F72" s="32"/>
      <c r="G72" s="32"/>
      <c r="H72" s="32">
        <v>109620</v>
      </c>
      <c r="I72" s="32"/>
      <c r="J72" s="32"/>
      <c r="K72" s="32"/>
      <c r="L72" s="32"/>
      <c r="M72" s="32"/>
      <c r="N72" s="32"/>
      <c r="O72" s="32"/>
      <c r="P72" s="32"/>
      <c r="Q72" s="32"/>
      <c r="R72" s="32"/>
      <c r="S72" s="32"/>
      <c r="T72" s="32"/>
      <c r="U72" s="3"/>
      <c r="V72" s="3"/>
      <c r="W72" s="3"/>
      <c r="X72" s="3"/>
      <c r="Y72" s="3"/>
      <c r="Z72" s="3"/>
      <c r="AA72" s="3"/>
      <c r="AB72" s="3"/>
    </row>
    <row r="73" spans="1:28" ht="16.5">
      <c r="A73" s="29">
        <v>13</v>
      </c>
      <c r="B73" s="30" t="s">
        <v>119</v>
      </c>
      <c r="C73" s="31">
        <f t="shared" si="2"/>
        <v>34668</v>
      </c>
      <c r="D73" s="32"/>
      <c r="E73" s="32"/>
      <c r="F73" s="32"/>
      <c r="G73" s="32"/>
      <c r="H73" s="32">
        <v>34668</v>
      </c>
      <c r="I73" s="32"/>
      <c r="J73" s="32"/>
      <c r="K73" s="32"/>
      <c r="L73" s="32"/>
      <c r="M73" s="32"/>
      <c r="N73" s="32"/>
      <c r="O73" s="32"/>
      <c r="P73" s="32"/>
      <c r="Q73" s="32"/>
      <c r="R73" s="32"/>
      <c r="S73" s="32"/>
      <c r="T73" s="32"/>
      <c r="U73" s="3"/>
      <c r="V73" s="3"/>
      <c r="W73" s="3"/>
      <c r="X73" s="3"/>
      <c r="Y73" s="3"/>
      <c r="Z73" s="3"/>
      <c r="AA73" s="3"/>
      <c r="AB73" s="3"/>
    </row>
    <row r="74" spans="1:28" ht="49.5">
      <c r="A74" s="29">
        <v>14</v>
      </c>
      <c r="B74" s="30" t="s">
        <v>87</v>
      </c>
      <c r="C74" s="31">
        <f t="shared" si="2"/>
        <v>2882</v>
      </c>
      <c r="D74" s="32"/>
      <c r="E74" s="32"/>
      <c r="F74" s="32"/>
      <c r="G74" s="32"/>
      <c r="H74" s="32">
        <v>2882</v>
      </c>
      <c r="I74" s="32"/>
      <c r="J74" s="32"/>
      <c r="K74" s="32"/>
      <c r="L74" s="32"/>
      <c r="M74" s="32"/>
      <c r="N74" s="32"/>
      <c r="O74" s="32"/>
      <c r="P74" s="32"/>
      <c r="Q74" s="32"/>
      <c r="R74" s="32"/>
      <c r="S74" s="32"/>
      <c r="T74" s="32"/>
      <c r="U74" s="3"/>
      <c r="V74" s="3"/>
      <c r="W74" s="3"/>
      <c r="X74" s="3"/>
      <c r="Y74" s="3"/>
      <c r="Z74" s="3"/>
      <c r="AA74" s="3"/>
      <c r="AB74" s="3"/>
    </row>
    <row r="75" spans="1:28" ht="16.5">
      <c r="A75" s="29">
        <v>15</v>
      </c>
      <c r="B75" s="30" t="s">
        <v>107</v>
      </c>
      <c r="C75" s="31">
        <f t="shared" si="2"/>
        <v>2200</v>
      </c>
      <c r="D75" s="32"/>
      <c r="E75" s="32"/>
      <c r="F75" s="32"/>
      <c r="G75" s="32"/>
      <c r="H75" s="32"/>
      <c r="I75" s="32"/>
      <c r="J75" s="32"/>
      <c r="K75" s="32"/>
      <c r="L75" s="32"/>
      <c r="M75" s="32"/>
      <c r="N75" s="32"/>
      <c r="O75" s="32"/>
      <c r="P75" s="32"/>
      <c r="Q75" s="32">
        <v>2200</v>
      </c>
      <c r="R75" s="32"/>
      <c r="S75" s="32"/>
      <c r="T75" s="32"/>
      <c r="U75" s="3"/>
      <c r="V75" s="3"/>
      <c r="W75" s="3"/>
      <c r="X75" s="3"/>
      <c r="Y75" s="3"/>
      <c r="Z75" s="3"/>
      <c r="AA75" s="3"/>
      <c r="AB75" s="3"/>
    </row>
    <row r="76" spans="1:28" ht="16.5">
      <c r="A76" s="29">
        <v>16</v>
      </c>
      <c r="B76" s="30" t="s">
        <v>108</v>
      </c>
      <c r="C76" s="31">
        <f t="shared" si="2"/>
        <v>2400</v>
      </c>
      <c r="D76" s="32"/>
      <c r="E76" s="32"/>
      <c r="F76" s="32"/>
      <c r="G76" s="32"/>
      <c r="H76" s="32"/>
      <c r="I76" s="32"/>
      <c r="J76" s="32"/>
      <c r="K76" s="32"/>
      <c r="L76" s="32"/>
      <c r="M76" s="32"/>
      <c r="N76" s="32"/>
      <c r="O76" s="32"/>
      <c r="P76" s="32"/>
      <c r="Q76" s="32">
        <v>2400</v>
      </c>
      <c r="R76" s="32"/>
      <c r="S76" s="32"/>
      <c r="T76" s="32"/>
      <c r="U76" s="3"/>
      <c r="V76" s="3"/>
      <c r="W76" s="3"/>
      <c r="X76" s="3"/>
      <c r="Y76" s="3"/>
      <c r="Z76" s="3"/>
      <c r="AA76" s="3"/>
      <c r="AB76" s="3"/>
    </row>
    <row r="77" spans="1:28" ht="33">
      <c r="A77" s="29">
        <v>17</v>
      </c>
      <c r="B77" s="30" t="s">
        <v>88</v>
      </c>
      <c r="C77" s="31">
        <f t="shared" si="2"/>
        <v>7500</v>
      </c>
      <c r="D77" s="32"/>
      <c r="E77" s="32"/>
      <c r="F77" s="32"/>
      <c r="G77" s="32"/>
      <c r="H77" s="32"/>
      <c r="I77" s="32"/>
      <c r="J77" s="32"/>
      <c r="K77" s="32"/>
      <c r="L77" s="32"/>
      <c r="M77" s="32"/>
      <c r="N77" s="32"/>
      <c r="O77" s="32"/>
      <c r="P77" s="32"/>
      <c r="Q77" s="32">
        <v>7500</v>
      </c>
      <c r="R77" s="32"/>
      <c r="S77" s="32"/>
      <c r="T77" s="32"/>
      <c r="U77" s="3"/>
      <c r="V77" s="3"/>
      <c r="W77" s="3"/>
      <c r="X77" s="3"/>
      <c r="Y77" s="3"/>
      <c r="Z77" s="3"/>
      <c r="AA77" s="3"/>
      <c r="AB77" s="3"/>
    </row>
    <row r="78" spans="1:28" ht="18.75" customHeight="1">
      <c r="A78" s="29">
        <v>18</v>
      </c>
      <c r="B78" s="30" t="s">
        <v>90</v>
      </c>
      <c r="C78" s="31">
        <f t="shared" si="2"/>
        <v>6250</v>
      </c>
      <c r="D78" s="32"/>
      <c r="E78" s="32"/>
      <c r="F78" s="32"/>
      <c r="G78" s="32"/>
      <c r="H78" s="32"/>
      <c r="I78" s="32"/>
      <c r="J78" s="32"/>
      <c r="K78" s="32"/>
      <c r="L78" s="32"/>
      <c r="M78" s="32">
        <v>6250</v>
      </c>
      <c r="N78" s="32"/>
      <c r="O78" s="32"/>
      <c r="P78" s="32"/>
      <c r="Q78" s="32"/>
      <c r="R78" s="32"/>
      <c r="S78" s="32"/>
      <c r="T78" s="32"/>
      <c r="U78" s="3"/>
      <c r="V78" s="3"/>
      <c r="W78" s="3"/>
      <c r="X78" s="3"/>
      <c r="Y78" s="3"/>
      <c r="Z78" s="3"/>
      <c r="AA78" s="3"/>
      <c r="AB78" s="3"/>
    </row>
    <row r="79" spans="1:28" ht="18.75" customHeight="1">
      <c r="A79" s="29">
        <v>19</v>
      </c>
      <c r="B79" s="30" t="s">
        <v>91</v>
      </c>
      <c r="C79" s="31">
        <f t="shared" si="2"/>
        <v>2000</v>
      </c>
      <c r="D79" s="32"/>
      <c r="E79" s="32"/>
      <c r="F79" s="32"/>
      <c r="G79" s="32"/>
      <c r="H79" s="32"/>
      <c r="I79" s="32"/>
      <c r="J79" s="32"/>
      <c r="K79" s="32"/>
      <c r="L79" s="32"/>
      <c r="M79" s="32">
        <v>2000</v>
      </c>
      <c r="N79" s="32"/>
      <c r="O79" s="32"/>
      <c r="P79" s="32"/>
      <c r="Q79" s="32"/>
      <c r="R79" s="32"/>
      <c r="S79" s="32"/>
      <c r="T79" s="32"/>
      <c r="U79" s="3"/>
      <c r="V79" s="3"/>
      <c r="W79" s="3"/>
      <c r="X79" s="3"/>
      <c r="Y79" s="3"/>
      <c r="Z79" s="3"/>
      <c r="AA79" s="3"/>
      <c r="AB79" s="3"/>
    </row>
    <row r="80" spans="1:28" ht="16.5">
      <c r="A80" s="29">
        <v>20</v>
      </c>
      <c r="B80" s="30" t="s">
        <v>112</v>
      </c>
      <c r="C80" s="31">
        <f t="shared" si="2"/>
        <v>3333</v>
      </c>
      <c r="D80" s="32"/>
      <c r="E80" s="32"/>
      <c r="F80" s="32"/>
      <c r="G80" s="32"/>
      <c r="H80" s="32"/>
      <c r="I80" s="32"/>
      <c r="J80" s="32"/>
      <c r="K80" s="32"/>
      <c r="L80" s="32"/>
      <c r="M80" s="32">
        <v>3333</v>
      </c>
      <c r="N80" s="32"/>
      <c r="O80" s="32"/>
      <c r="P80" s="32"/>
      <c r="Q80" s="32"/>
      <c r="R80" s="32"/>
      <c r="S80" s="32">
        <v>333</v>
      </c>
      <c r="T80" s="32"/>
      <c r="U80" s="3"/>
      <c r="V80" s="3"/>
      <c r="W80" s="3"/>
      <c r="X80" s="3"/>
      <c r="Y80" s="3"/>
      <c r="Z80" s="3"/>
      <c r="AA80" s="3"/>
      <c r="AB80" s="3"/>
    </row>
    <row r="81" spans="1:28" ht="18.75" customHeight="1">
      <c r="A81" s="29">
        <v>21</v>
      </c>
      <c r="B81" s="30" t="s">
        <v>92</v>
      </c>
      <c r="C81" s="31">
        <f t="shared" si="2"/>
        <v>54684</v>
      </c>
      <c r="D81" s="32"/>
      <c r="E81" s="32"/>
      <c r="F81" s="32"/>
      <c r="G81" s="32"/>
      <c r="H81" s="32"/>
      <c r="I81" s="32"/>
      <c r="J81" s="32"/>
      <c r="K81" s="32"/>
      <c r="L81" s="32"/>
      <c r="M81" s="32">
        <v>54684</v>
      </c>
      <c r="N81" s="32"/>
      <c r="O81" s="32">
        <f>M81</f>
        <v>54684</v>
      </c>
      <c r="P81" s="32"/>
      <c r="Q81" s="32"/>
      <c r="R81" s="32"/>
      <c r="S81" s="32"/>
      <c r="T81" s="32"/>
      <c r="U81" s="3"/>
      <c r="V81" s="3"/>
      <c r="W81" s="3"/>
      <c r="X81" s="3"/>
      <c r="Y81" s="3"/>
      <c r="Z81" s="3"/>
      <c r="AA81" s="3"/>
      <c r="AB81" s="3"/>
    </row>
    <row r="82" spans="1:28" ht="18.75" customHeight="1">
      <c r="A82" s="29">
        <v>22</v>
      </c>
      <c r="B82" s="30" t="s">
        <v>113</v>
      </c>
      <c r="C82" s="31">
        <f t="shared" si="2"/>
        <v>10000</v>
      </c>
      <c r="D82" s="32"/>
      <c r="E82" s="32"/>
      <c r="F82" s="32"/>
      <c r="G82" s="32"/>
      <c r="H82" s="32"/>
      <c r="I82" s="32"/>
      <c r="J82" s="32"/>
      <c r="K82" s="32"/>
      <c r="L82" s="32"/>
      <c r="M82" s="32">
        <v>10000</v>
      </c>
      <c r="N82" s="32"/>
      <c r="O82" s="32"/>
      <c r="P82" s="32"/>
      <c r="Q82" s="32"/>
      <c r="R82" s="32"/>
      <c r="S82" s="32"/>
      <c r="T82" s="32"/>
      <c r="U82" s="3"/>
      <c r="V82" s="3"/>
      <c r="W82" s="3"/>
      <c r="X82" s="3"/>
      <c r="Y82" s="3"/>
      <c r="Z82" s="3"/>
      <c r="AA82" s="3"/>
      <c r="AB82" s="3"/>
    </row>
    <row r="83" spans="1:28" ht="33">
      <c r="A83" s="29">
        <v>23</v>
      </c>
      <c r="B83" s="30" t="s">
        <v>93</v>
      </c>
      <c r="C83" s="31">
        <f t="shared" si="2"/>
        <v>500</v>
      </c>
      <c r="D83" s="32"/>
      <c r="E83" s="32"/>
      <c r="F83" s="32"/>
      <c r="G83" s="32"/>
      <c r="H83" s="32"/>
      <c r="I83" s="32"/>
      <c r="J83" s="32"/>
      <c r="K83" s="32"/>
      <c r="L83" s="32"/>
      <c r="M83" s="32">
        <v>500</v>
      </c>
      <c r="N83" s="32"/>
      <c r="O83" s="32"/>
      <c r="P83" s="32"/>
      <c r="Q83" s="32"/>
      <c r="R83" s="32"/>
      <c r="S83" s="32"/>
      <c r="T83" s="32"/>
      <c r="U83" s="3"/>
      <c r="V83" s="3"/>
      <c r="W83" s="3"/>
      <c r="X83" s="3"/>
      <c r="Y83" s="3"/>
      <c r="Z83" s="3"/>
      <c r="AA83" s="3"/>
      <c r="AB83" s="3"/>
    </row>
    <row r="84" spans="1:28" ht="33">
      <c r="A84" s="29">
        <v>24</v>
      </c>
      <c r="B84" s="30" t="s">
        <v>94</v>
      </c>
      <c r="C84" s="31">
        <f t="shared" si="2"/>
        <v>15000</v>
      </c>
      <c r="D84" s="32"/>
      <c r="E84" s="32"/>
      <c r="F84" s="32"/>
      <c r="G84" s="32"/>
      <c r="H84" s="32"/>
      <c r="I84" s="32"/>
      <c r="J84" s="32"/>
      <c r="K84" s="32"/>
      <c r="L84" s="32"/>
      <c r="M84" s="32">
        <v>15000</v>
      </c>
      <c r="N84" s="32"/>
      <c r="O84" s="32"/>
      <c r="P84" s="32"/>
      <c r="Q84" s="32"/>
      <c r="R84" s="32"/>
      <c r="S84" s="32">
        <v>1500</v>
      </c>
      <c r="T84" s="32"/>
      <c r="U84" s="3"/>
      <c r="V84" s="3"/>
      <c r="W84" s="3"/>
      <c r="X84" s="3"/>
      <c r="Y84" s="3"/>
      <c r="Z84" s="3"/>
      <c r="AA84" s="3"/>
      <c r="AB84" s="3"/>
    </row>
    <row r="85" spans="1:28" ht="18.75" customHeight="1">
      <c r="A85" s="29">
        <v>25</v>
      </c>
      <c r="B85" s="30" t="s">
        <v>95</v>
      </c>
      <c r="C85" s="31">
        <f t="shared" si="2"/>
        <v>2500</v>
      </c>
      <c r="D85" s="32"/>
      <c r="E85" s="32"/>
      <c r="F85" s="32"/>
      <c r="G85" s="32"/>
      <c r="H85" s="32"/>
      <c r="I85" s="32"/>
      <c r="J85" s="32"/>
      <c r="K85" s="32"/>
      <c r="L85" s="32"/>
      <c r="M85" s="32"/>
      <c r="N85" s="32"/>
      <c r="O85" s="32"/>
      <c r="P85" s="32"/>
      <c r="Q85" s="32"/>
      <c r="R85" s="32">
        <v>2500</v>
      </c>
      <c r="S85" s="32"/>
      <c r="T85" s="32"/>
      <c r="U85" s="3"/>
      <c r="V85" s="3"/>
      <c r="W85" s="3"/>
      <c r="X85" s="3"/>
      <c r="Y85" s="3"/>
      <c r="Z85" s="3"/>
      <c r="AA85" s="3"/>
      <c r="AB85" s="3"/>
    </row>
    <row r="86" spans="1:28" ht="66">
      <c r="A86" s="29">
        <v>26</v>
      </c>
      <c r="B86" s="30" t="s">
        <v>96</v>
      </c>
      <c r="C86" s="31">
        <f t="shared" si="2"/>
        <v>15000</v>
      </c>
      <c r="D86" s="32"/>
      <c r="E86" s="32"/>
      <c r="F86" s="32"/>
      <c r="G86" s="32"/>
      <c r="H86" s="32"/>
      <c r="I86" s="32"/>
      <c r="J86" s="32"/>
      <c r="K86" s="32"/>
      <c r="L86" s="32"/>
      <c r="M86" s="32"/>
      <c r="N86" s="32"/>
      <c r="O86" s="32"/>
      <c r="P86" s="32"/>
      <c r="Q86" s="32"/>
      <c r="R86" s="32">
        <v>15000</v>
      </c>
      <c r="S86" s="32"/>
      <c r="T86" s="32"/>
      <c r="U86" s="3"/>
      <c r="V86" s="3"/>
      <c r="W86" s="3"/>
      <c r="X86" s="3"/>
      <c r="Y86" s="3"/>
      <c r="Z86" s="3"/>
      <c r="AA86" s="3"/>
      <c r="AB86" s="3"/>
    </row>
    <row r="87" spans="1:28" ht="18.75" customHeight="1">
      <c r="A87" s="29">
        <v>27</v>
      </c>
      <c r="B87" s="30" t="s">
        <v>97</v>
      </c>
      <c r="C87" s="31">
        <f t="shared" si="2"/>
        <v>10575</v>
      </c>
      <c r="D87" s="32"/>
      <c r="E87" s="32"/>
      <c r="F87" s="32"/>
      <c r="G87" s="32"/>
      <c r="H87" s="32"/>
      <c r="I87" s="32"/>
      <c r="J87" s="32"/>
      <c r="K87" s="32"/>
      <c r="L87" s="32"/>
      <c r="M87" s="32"/>
      <c r="N87" s="32"/>
      <c r="O87" s="32"/>
      <c r="P87" s="32"/>
      <c r="Q87" s="32"/>
      <c r="R87" s="32">
        <v>10575</v>
      </c>
      <c r="S87" s="32">
        <v>1058</v>
      </c>
      <c r="T87" s="32"/>
      <c r="U87" s="3"/>
      <c r="V87" s="3"/>
      <c r="W87" s="3"/>
      <c r="X87" s="3"/>
      <c r="Y87" s="3"/>
      <c r="Z87" s="3"/>
      <c r="AA87" s="3"/>
      <c r="AB87" s="3"/>
    </row>
    <row r="88" spans="1:28" ht="18.75" customHeight="1">
      <c r="A88" s="29">
        <v>28</v>
      </c>
      <c r="B88" s="33" t="s">
        <v>98</v>
      </c>
      <c r="C88" s="31">
        <f t="shared" si="2"/>
        <v>14557</v>
      </c>
      <c r="D88" s="32"/>
      <c r="E88" s="32"/>
      <c r="F88" s="32">
        <v>12557</v>
      </c>
      <c r="G88" s="32">
        <v>2000</v>
      </c>
      <c r="H88" s="32"/>
      <c r="I88" s="32"/>
      <c r="J88" s="32"/>
      <c r="K88" s="32"/>
      <c r="L88" s="32"/>
      <c r="M88" s="32"/>
      <c r="N88" s="32"/>
      <c r="O88" s="32"/>
      <c r="P88" s="32"/>
      <c r="Q88" s="32"/>
      <c r="R88" s="32"/>
      <c r="S88" s="32"/>
      <c r="T88" s="32"/>
      <c r="U88" s="3"/>
      <c r="V88" s="3"/>
      <c r="W88" s="3"/>
      <c r="X88" s="3"/>
      <c r="Y88" s="3"/>
      <c r="Z88" s="3"/>
      <c r="AA88" s="3"/>
      <c r="AB88" s="3"/>
    </row>
    <row r="89" spans="1:28" ht="18.75" customHeight="1">
      <c r="A89" s="29">
        <v>29</v>
      </c>
      <c r="B89" s="33" t="s">
        <v>111</v>
      </c>
      <c r="C89" s="31">
        <f t="shared" si="2"/>
        <v>1000</v>
      </c>
      <c r="D89" s="32"/>
      <c r="E89" s="32"/>
      <c r="F89" s="32"/>
      <c r="G89" s="32">
        <v>1000</v>
      </c>
      <c r="H89" s="32"/>
      <c r="I89" s="32"/>
      <c r="J89" s="32"/>
      <c r="K89" s="32"/>
      <c r="L89" s="32"/>
      <c r="M89" s="32"/>
      <c r="N89" s="32"/>
      <c r="O89" s="32"/>
      <c r="P89" s="32"/>
      <c r="Q89" s="32"/>
      <c r="R89" s="32"/>
      <c r="S89" s="32"/>
      <c r="T89" s="32"/>
      <c r="U89" s="3"/>
      <c r="V89" s="3"/>
      <c r="W89" s="3"/>
      <c r="X89" s="3"/>
      <c r="Y89" s="3"/>
      <c r="Z89" s="3"/>
      <c r="AA89" s="3"/>
      <c r="AB89" s="3"/>
    </row>
    <row r="90" spans="1:28" ht="16.5">
      <c r="A90" s="29">
        <v>30</v>
      </c>
      <c r="B90" s="33" t="s">
        <v>110</v>
      </c>
      <c r="C90" s="31">
        <f t="shared" si="2"/>
        <v>2000</v>
      </c>
      <c r="D90" s="32"/>
      <c r="E90" s="32"/>
      <c r="F90" s="32"/>
      <c r="G90" s="32">
        <v>2000</v>
      </c>
      <c r="H90" s="32"/>
      <c r="I90" s="32"/>
      <c r="J90" s="32"/>
      <c r="K90" s="32"/>
      <c r="L90" s="32"/>
      <c r="M90" s="32"/>
      <c r="N90" s="32"/>
      <c r="O90" s="32"/>
      <c r="P90" s="32"/>
      <c r="Q90" s="32"/>
      <c r="R90" s="32"/>
      <c r="S90" s="32"/>
      <c r="T90" s="32"/>
      <c r="U90" s="3"/>
      <c r="V90" s="3"/>
      <c r="W90" s="3"/>
      <c r="X90" s="3"/>
      <c r="Y90" s="3"/>
      <c r="Z90" s="3"/>
      <c r="AA90" s="3"/>
      <c r="AB90" s="3"/>
    </row>
    <row r="91" spans="1:28" ht="66">
      <c r="A91" s="29">
        <v>31</v>
      </c>
      <c r="B91" s="33" t="s">
        <v>99</v>
      </c>
      <c r="C91" s="31">
        <f t="shared" si="2"/>
        <v>1688</v>
      </c>
      <c r="D91" s="32"/>
      <c r="E91" s="32"/>
      <c r="F91" s="32"/>
      <c r="G91" s="32"/>
      <c r="H91" s="32"/>
      <c r="I91" s="32"/>
      <c r="J91" s="32"/>
      <c r="K91" s="32"/>
      <c r="L91" s="32"/>
      <c r="M91" s="32"/>
      <c r="N91" s="32"/>
      <c r="O91" s="32"/>
      <c r="P91" s="32"/>
      <c r="Q91" s="32"/>
      <c r="R91" s="32">
        <v>1688</v>
      </c>
      <c r="S91" s="32"/>
      <c r="T91" s="32"/>
      <c r="U91" s="3"/>
      <c r="V91" s="3"/>
      <c r="W91" s="3"/>
      <c r="X91" s="3"/>
      <c r="Y91" s="3"/>
      <c r="Z91" s="3"/>
      <c r="AA91" s="3"/>
      <c r="AB91" s="3"/>
    </row>
    <row r="92" spans="1:28" ht="49.5">
      <c r="A92" s="29">
        <v>32</v>
      </c>
      <c r="B92" s="36" t="s">
        <v>109</v>
      </c>
      <c r="C92" s="37">
        <f t="shared" si="2"/>
        <v>4500</v>
      </c>
      <c r="D92" s="38"/>
      <c r="E92" s="38"/>
      <c r="F92" s="38"/>
      <c r="G92" s="38">
        <v>4500</v>
      </c>
      <c r="H92" s="38"/>
      <c r="I92" s="38"/>
      <c r="J92" s="38"/>
      <c r="K92" s="38"/>
      <c r="L92" s="38"/>
      <c r="M92" s="38"/>
      <c r="N92" s="38"/>
      <c r="O92" s="38"/>
      <c r="P92" s="38"/>
      <c r="Q92" s="38"/>
      <c r="R92" s="38"/>
      <c r="S92" s="38"/>
      <c r="T92" s="38"/>
      <c r="U92" s="3"/>
      <c r="V92" s="3"/>
      <c r="W92" s="3"/>
      <c r="X92" s="3"/>
      <c r="Y92" s="3"/>
      <c r="Z92" s="3"/>
      <c r="AA92" s="3"/>
      <c r="AB92" s="3"/>
    </row>
    <row r="93" spans="1:28"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1:28"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1:28"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1:28"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1:28"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1:2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1:28"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sheetData>
  <mergeCells count="22">
    <mergeCell ref="R6:R7"/>
    <mergeCell ref="L6:L7"/>
    <mergeCell ref="M6:M7"/>
    <mergeCell ref="N6:O6"/>
    <mergeCell ref="P6:P7"/>
    <mergeCell ref="Q6:Q7"/>
    <mergeCell ref="F6:F7"/>
    <mergeCell ref="A1:T1"/>
    <mergeCell ref="A2:T2"/>
    <mergeCell ref="A3:T3"/>
    <mergeCell ref="A4:T4"/>
    <mergeCell ref="A6:A7"/>
    <mergeCell ref="B6:B7"/>
    <mergeCell ref="C6:C7"/>
    <mergeCell ref="D6:D7"/>
    <mergeCell ref="E6:E7"/>
    <mergeCell ref="S6:T6"/>
    <mergeCell ref="G6:G7"/>
    <mergeCell ref="H6:H7"/>
    <mergeCell ref="I6:I7"/>
    <mergeCell ref="J6:J7"/>
    <mergeCell ref="K6:K7"/>
  </mergeCells>
  <pageMargins left="0.27559055118110237" right="0.15748031496062992"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AB984"/>
  <sheetViews>
    <sheetView topLeftCell="A76" zoomScale="70" zoomScaleNormal="70" workbookViewId="0">
      <selection activeCell="P94" sqref="P94:R100"/>
    </sheetView>
  </sheetViews>
  <sheetFormatPr defaultColWidth="12.85546875" defaultRowHeight="15"/>
  <cols>
    <col min="1" max="1" width="5.85546875" style="15" customWidth="1"/>
    <col min="2" max="2" width="39.7109375" style="15" customWidth="1"/>
    <col min="3" max="3" width="13.140625" style="15" customWidth="1"/>
    <col min="4" max="4" width="11.28515625" style="15" customWidth="1"/>
    <col min="5" max="5" width="10.140625" style="15" customWidth="1"/>
    <col min="6" max="6" width="9.85546875" style="15" customWidth="1"/>
    <col min="7" max="7" width="10" style="15" customWidth="1"/>
    <col min="8" max="8" width="11.7109375" style="15" customWidth="1"/>
    <col min="9" max="9" width="10" style="15" customWidth="1"/>
    <col min="10" max="12" width="9.85546875" style="15" customWidth="1"/>
    <col min="13" max="13" width="10.7109375" style="15" customWidth="1"/>
    <col min="14" max="14" width="10.42578125" style="15" customWidth="1"/>
    <col min="15" max="15" width="11" style="15" customWidth="1"/>
    <col min="16" max="16" width="11.42578125" style="15" customWidth="1"/>
    <col min="17" max="17" width="10" style="15" customWidth="1"/>
    <col min="18" max="18" width="10.140625" style="15" customWidth="1"/>
    <col min="19" max="19" width="10" style="15" customWidth="1"/>
    <col min="20" max="28" width="10.28515625" style="15" customWidth="1"/>
    <col min="29" max="16384" width="12.85546875" style="15"/>
  </cols>
  <sheetData>
    <row r="1" spans="1:28" ht="18.75" customHeight="1">
      <c r="A1" s="64" t="s">
        <v>4</v>
      </c>
      <c r="B1" s="64"/>
      <c r="C1" s="64"/>
      <c r="D1" s="64"/>
      <c r="E1" s="64"/>
      <c r="F1" s="64"/>
      <c r="G1" s="64"/>
      <c r="H1" s="64"/>
      <c r="I1" s="64"/>
      <c r="J1" s="64"/>
      <c r="K1" s="64"/>
      <c r="L1" s="64"/>
      <c r="M1" s="64"/>
      <c r="N1" s="64"/>
      <c r="O1" s="64"/>
      <c r="P1" s="64"/>
      <c r="Q1" s="64"/>
      <c r="R1" s="64"/>
      <c r="S1" s="64"/>
      <c r="T1" s="64"/>
      <c r="U1" s="4"/>
      <c r="V1" s="4"/>
      <c r="W1" s="3"/>
      <c r="X1" s="3"/>
      <c r="Y1" s="3"/>
      <c r="Z1" s="3"/>
      <c r="AA1" s="3"/>
      <c r="AB1" s="3"/>
    </row>
    <row r="2" spans="1:28" ht="21" customHeight="1">
      <c r="A2" s="64" t="s">
        <v>5</v>
      </c>
      <c r="B2" s="64"/>
      <c r="C2" s="64"/>
      <c r="D2" s="64"/>
      <c r="E2" s="64"/>
      <c r="F2" s="64"/>
      <c r="G2" s="64"/>
      <c r="H2" s="64"/>
      <c r="I2" s="64"/>
      <c r="J2" s="64"/>
      <c r="K2" s="64"/>
      <c r="L2" s="64"/>
      <c r="M2" s="64"/>
      <c r="N2" s="64"/>
      <c r="O2" s="64"/>
      <c r="P2" s="64"/>
      <c r="Q2" s="64"/>
      <c r="R2" s="64"/>
      <c r="S2" s="64"/>
      <c r="T2" s="64"/>
      <c r="U2" s="3"/>
      <c r="V2" s="3"/>
      <c r="W2" s="3"/>
      <c r="X2" s="3"/>
      <c r="Y2" s="3"/>
      <c r="Z2" s="3"/>
      <c r="AA2" s="3"/>
      <c r="AB2" s="3"/>
    </row>
    <row r="3" spans="1:28" ht="20.25" customHeight="1">
      <c r="A3" s="64" t="s">
        <v>114</v>
      </c>
      <c r="B3" s="64"/>
      <c r="C3" s="64"/>
      <c r="D3" s="64"/>
      <c r="E3" s="64"/>
      <c r="F3" s="64"/>
      <c r="G3" s="64"/>
      <c r="H3" s="64"/>
      <c r="I3" s="64"/>
      <c r="J3" s="64"/>
      <c r="K3" s="64"/>
      <c r="L3" s="64"/>
      <c r="M3" s="64"/>
      <c r="N3" s="64"/>
      <c r="O3" s="64"/>
      <c r="P3" s="64"/>
      <c r="Q3" s="64"/>
      <c r="R3" s="64"/>
      <c r="S3" s="64"/>
      <c r="T3" s="64"/>
      <c r="U3" s="3"/>
      <c r="V3" s="3"/>
      <c r="W3" s="3"/>
      <c r="X3" s="3"/>
      <c r="Y3" s="3"/>
      <c r="Z3" s="3"/>
      <c r="AA3" s="3"/>
      <c r="AB3" s="3"/>
    </row>
    <row r="4" spans="1:28" ht="20.25" customHeight="1">
      <c r="A4" s="56" t="s">
        <v>121</v>
      </c>
      <c r="B4" s="56"/>
      <c r="C4" s="56"/>
      <c r="D4" s="56"/>
      <c r="E4" s="56"/>
      <c r="F4" s="56"/>
      <c r="G4" s="56"/>
      <c r="H4" s="56"/>
      <c r="I4" s="56"/>
      <c r="J4" s="56"/>
      <c r="K4" s="56"/>
      <c r="L4" s="56"/>
      <c r="M4" s="56"/>
      <c r="N4" s="56"/>
      <c r="O4" s="56"/>
      <c r="P4" s="56"/>
      <c r="Q4" s="56"/>
      <c r="R4" s="56"/>
      <c r="S4" s="56"/>
      <c r="T4" s="56"/>
      <c r="U4" s="3"/>
      <c r="V4" s="3"/>
      <c r="W4" s="3"/>
      <c r="X4" s="3"/>
      <c r="Y4" s="3"/>
      <c r="Z4" s="3"/>
      <c r="AA4" s="3"/>
      <c r="AB4" s="3"/>
    </row>
    <row r="5" spans="1:28" ht="19.5" customHeight="1">
      <c r="A5" s="17"/>
      <c r="B5" s="17"/>
      <c r="C5" s="12"/>
      <c r="D5" s="12"/>
      <c r="E5" s="12"/>
      <c r="F5" s="12"/>
      <c r="G5" s="18"/>
      <c r="H5" s="18"/>
      <c r="I5" s="18"/>
      <c r="J5" s="18"/>
      <c r="K5" s="18"/>
      <c r="L5" s="18"/>
      <c r="M5" s="18"/>
      <c r="N5" s="18"/>
      <c r="O5" s="18"/>
      <c r="P5" s="18"/>
      <c r="Q5" s="18"/>
      <c r="S5" s="12"/>
      <c r="T5" s="19" t="s">
        <v>6</v>
      </c>
      <c r="U5" s="3"/>
      <c r="V5" s="3"/>
      <c r="W5" s="3"/>
      <c r="X5" s="3"/>
      <c r="Y5" s="3"/>
      <c r="Z5" s="3"/>
      <c r="AA5" s="3"/>
      <c r="AB5" s="3"/>
    </row>
    <row r="6" spans="1:28" ht="30" customHeight="1">
      <c r="A6" s="53" t="s">
        <v>7</v>
      </c>
      <c r="B6" s="57" t="s">
        <v>8</v>
      </c>
      <c r="C6" s="58" t="s">
        <v>9</v>
      </c>
      <c r="D6" s="53" t="s">
        <v>10</v>
      </c>
      <c r="E6" s="53" t="s">
        <v>11</v>
      </c>
      <c r="F6" s="53" t="s">
        <v>12</v>
      </c>
      <c r="G6" s="53" t="s">
        <v>13</v>
      </c>
      <c r="H6" s="53" t="s">
        <v>14</v>
      </c>
      <c r="I6" s="53" t="s">
        <v>15</v>
      </c>
      <c r="J6" s="53" t="s">
        <v>16</v>
      </c>
      <c r="K6" s="53" t="s">
        <v>17</v>
      </c>
      <c r="L6" s="53" t="s">
        <v>18</v>
      </c>
      <c r="M6" s="53" t="s">
        <v>19</v>
      </c>
      <c r="N6" s="62" t="s">
        <v>20</v>
      </c>
      <c r="O6" s="63"/>
      <c r="P6" s="53" t="s">
        <v>100</v>
      </c>
      <c r="Q6" s="53" t="s">
        <v>21</v>
      </c>
      <c r="R6" s="60" t="s">
        <v>22</v>
      </c>
      <c r="S6" s="59" t="s">
        <v>117</v>
      </c>
      <c r="T6" s="59"/>
      <c r="U6" s="12"/>
      <c r="V6" s="12"/>
      <c r="W6" s="12"/>
      <c r="X6" s="12"/>
      <c r="Y6" s="12"/>
      <c r="Z6" s="12"/>
      <c r="AA6" s="12"/>
      <c r="AB6" s="12"/>
    </row>
    <row r="7" spans="1:28" ht="114" customHeight="1">
      <c r="A7" s="54"/>
      <c r="B7" s="54"/>
      <c r="C7" s="54"/>
      <c r="D7" s="54"/>
      <c r="E7" s="54"/>
      <c r="F7" s="54"/>
      <c r="G7" s="54"/>
      <c r="H7" s="54"/>
      <c r="I7" s="54"/>
      <c r="J7" s="54"/>
      <c r="K7" s="54"/>
      <c r="L7" s="54"/>
      <c r="M7" s="54"/>
      <c r="N7" s="20" t="s">
        <v>23</v>
      </c>
      <c r="O7" s="20" t="s">
        <v>24</v>
      </c>
      <c r="P7" s="54"/>
      <c r="Q7" s="54"/>
      <c r="R7" s="61"/>
      <c r="S7" s="39" t="s">
        <v>115</v>
      </c>
      <c r="T7" s="39" t="s">
        <v>116</v>
      </c>
      <c r="U7" s="12"/>
      <c r="V7" s="12"/>
      <c r="W7" s="12"/>
      <c r="X7" s="12"/>
      <c r="Y7" s="12"/>
      <c r="Z7" s="12"/>
      <c r="AA7" s="12"/>
      <c r="AB7" s="12"/>
    </row>
    <row r="8" spans="1:28" ht="17.25" customHeight="1">
      <c r="A8" s="21" t="s">
        <v>25</v>
      </c>
      <c r="B8" s="21" t="s">
        <v>26</v>
      </c>
      <c r="C8" s="22">
        <v>1</v>
      </c>
      <c r="D8" s="22">
        <f t="shared" ref="D8:R8" si="0">C8+1</f>
        <v>2</v>
      </c>
      <c r="E8" s="22">
        <f t="shared" si="0"/>
        <v>3</v>
      </c>
      <c r="F8" s="22">
        <f t="shared" si="0"/>
        <v>4</v>
      </c>
      <c r="G8" s="22">
        <f t="shared" si="0"/>
        <v>5</v>
      </c>
      <c r="H8" s="22">
        <f t="shared" si="0"/>
        <v>6</v>
      </c>
      <c r="I8" s="22">
        <f t="shared" si="0"/>
        <v>7</v>
      </c>
      <c r="J8" s="22">
        <f t="shared" si="0"/>
        <v>8</v>
      </c>
      <c r="K8" s="22">
        <f t="shared" si="0"/>
        <v>9</v>
      </c>
      <c r="L8" s="22">
        <f t="shared" si="0"/>
        <v>10</v>
      </c>
      <c r="M8" s="22">
        <f t="shared" si="0"/>
        <v>11</v>
      </c>
      <c r="N8" s="22">
        <f t="shared" si="0"/>
        <v>12</v>
      </c>
      <c r="O8" s="22">
        <f t="shared" si="0"/>
        <v>13</v>
      </c>
      <c r="P8" s="22">
        <f t="shared" si="0"/>
        <v>14</v>
      </c>
      <c r="Q8" s="22">
        <f t="shared" si="0"/>
        <v>15</v>
      </c>
      <c r="R8" s="22">
        <f t="shared" si="0"/>
        <v>16</v>
      </c>
      <c r="S8" s="22"/>
      <c r="T8" s="22"/>
      <c r="U8" s="13"/>
      <c r="V8" s="13"/>
      <c r="W8" s="13"/>
      <c r="X8" s="13"/>
      <c r="Y8" s="13"/>
      <c r="Z8" s="13"/>
      <c r="AA8" s="13"/>
      <c r="AB8" s="13"/>
    </row>
    <row r="9" spans="1:28" ht="23.25" customHeight="1">
      <c r="A9" s="23"/>
      <c r="B9" s="24" t="s">
        <v>27</v>
      </c>
      <c r="C9" s="25">
        <f>SUM(D9:M9)+P9+Q9+R9</f>
        <v>1641759</v>
      </c>
      <c r="D9" s="25">
        <f t="shared" ref="D9:T9" si="1">D10+D60</f>
        <v>496383</v>
      </c>
      <c r="E9" s="25">
        <f t="shared" si="1"/>
        <v>20329</v>
      </c>
      <c r="F9" s="25">
        <f t="shared" si="1"/>
        <v>49779</v>
      </c>
      <c r="G9" s="25">
        <f t="shared" si="1"/>
        <v>13894</v>
      </c>
      <c r="H9" s="25">
        <f t="shared" si="1"/>
        <v>403658</v>
      </c>
      <c r="I9" s="25">
        <f t="shared" si="1"/>
        <v>29340</v>
      </c>
      <c r="J9" s="25">
        <f t="shared" si="1"/>
        <v>4022</v>
      </c>
      <c r="K9" s="25">
        <f t="shared" si="1"/>
        <v>14944</v>
      </c>
      <c r="L9" s="25">
        <f t="shared" si="1"/>
        <v>11138</v>
      </c>
      <c r="M9" s="25">
        <f t="shared" si="1"/>
        <v>214911</v>
      </c>
      <c r="N9" s="25">
        <f t="shared" si="1"/>
        <v>34298</v>
      </c>
      <c r="O9" s="25">
        <f t="shared" si="1"/>
        <v>93049</v>
      </c>
      <c r="P9" s="25">
        <f t="shared" si="1"/>
        <v>280563</v>
      </c>
      <c r="Q9" s="25">
        <f t="shared" si="1"/>
        <v>59035</v>
      </c>
      <c r="R9" s="25">
        <f t="shared" si="1"/>
        <v>43763</v>
      </c>
      <c r="S9" s="25">
        <f t="shared" si="1"/>
        <v>41788</v>
      </c>
      <c r="T9" s="25">
        <f t="shared" si="1"/>
        <v>47369</v>
      </c>
      <c r="U9" s="11"/>
      <c r="V9" s="11"/>
      <c r="W9" s="11"/>
      <c r="X9" s="11"/>
      <c r="Y9" s="11"/>
      <c r="Z9" s="11"/>
      <c r="AA9" s="11"/>
      <c r="AB9" s="11"/>
    </row>
    <row r="10" spans="1:28" ht="33">
      <c r="A10" s="26" t="s">
        <v>28</v>
      </c>
      <c r="B10" s="27" t="s">
        <v>29</v>
      </c>
      <c r="C10" s="28">
        <f t="shared" ref="C10:C92" si="2">SUM(D10:M10)+P10+Q10+R10</f>
        <v>1141360</v>
      </c>
      <c r="D10" s="28">
        <f t="shared" ref="D10:R10" si="3">SUM(D11:D59)</f>
        <v>391344</v>
      </c>
      <c r="E10" s="28">
        <f t="shared" si="3"/>
        <v>20329</v>
      </c>
      <c r="F10" s="28">
        <f t="shared" si="3"/>
        <v>37222</v>
      </c>
      <c r="G10" s="28">
        <f t="shared" si="3"/>
        <v>4394</v>
      </c>
      <c r="H10" s="28">
        <f t="shared" si="3"/>
        <v>175665</v>
      </c>
      <c r="I10" s="28">
        <f t="shared" si="3"/>
        <v>29340</v>
      </c>
      <c r="J10" s="28">
        <f t="shared" si="3"/>
        <v>4022</v>
      </c>
      <c r="K10" s="28">
        <f t="shared" si="3"/>
        <v>14944</v>
      </c>
      <c r="L10" s="28">
        <f t="shared" si="3"/>
        <v>11138</v>
      </c>
      <c r="M10" s="28">
        <f t="shared" si="3"/>
        <v>121280</v>
      </c>
      <c r="N10" s="28">
        <f t="shared" si="3"/>
        <v>34298</v>
      </c>
      <c r="O10" s="28">
        <f t="shared" si="3"/>
        <v>36501</v>
      </c>
      <c r="P10" s="28">
        <f t="shared" si="3"/>
        <v>270747</v>
      </c>
      <c r="Q10" s="28">
        <f t="shared" si="3"/>
        <v>46935</v>
      </c>
      <c r="R10" s="28">
        <f t="shared" si="3"/>
        <v>14000</v>
      </c>
      <c r="S10" s="28">
        <f t="shared" ref="S10:T10" si="4">SUM(S11:S59)</f>
        <v>37121</v>
      </c>
      <c r="T10" s="28">
        <f t="shared" si="4"/>
        <v>47369</v>
      </c>
      <c r="U10" s="11"/>
      <c r="V10" s="11"/>
      <c r="W10" s="11"/>
      <c r="X10" s="11"/>
      <c r="Y10" s="11"/>
      <c r="Z10" s="11"/>
      <c r="AA10" s="11"/>
      <c r="AB10" s="11"/>
    </row>
    <row r="11" spans="1:28" ht="18.75" customHeight="1">
      <c r="A11" s="29">
        <v>1</v>
      </c>
      <c r="B11" s="30" t="s">
        <v>30</v>
      </c>
      <c r="C11" s="31">
        <f t="shared" si="2"/>
        <v>69797</v>
      </c>
      <c r="D11" s="31">
        <v>506</v>
      </c>
      <c r="E11" s="31"/>
      <c r="F11" s="31"/>
      <c r="G11" s="31"/>
      <c r="H11" s="31"/>
      <c r="I11" s="31">
        <v>5800</v>
      </c>
      <c r="J11" s="31"/>
      <c r="K11" s="31"/>
      <c r="L11" s="31"/>
      <c r="M11" s="31"/>
      <c r="N11" s="31"/>
      <c r="O11" s="31"/>
      <c r="P11" s="31">
        <v>54991</v>
      </c>
      <c r="Q11" s="31">
        <v>8500</v>
      </c>
      <c r="R11" s="31"/>
      <c r="S11" s="31">
        <f>700+51</f>
        <v>751</v>
      </c>
      <c r="T11" s="31"/>
      <c r="U11" s="11"/>
      <c r="V11" s="11"/>
      <c r="W11" s="11"/>
      <c r="X11" s="11"/>
      <c r="Y11" s="11"/>
      <c r="Z11" s="11"/>
      <c r="AA11" s="11"/>
      <c r="AB11" s="11"/>
    </row>
    <row r="12" spans="1:28" ht="18.75" customHeight="1">
      <c r="A12" s="29">
        <v>2</v>
      </c>
      <c r="B12" s="30" t="s">
        <v>31</v>
      </c>
      <c r="C12" s="31">
        <f t="shared" si="2"/>
        <v>18960</v>
      </c>
      <c r="D12" s="31">
        <v>138</v>
      </c>
      <c r="E12" s="31"/>
      <c r="F12" s="31"/>
      <c r="G12" s="31"/>
      <c r="H12" s="31"/>
      <c r="I12" s="31"/>
      <c r="J12" s="31"/>
      <c r="K12" s="31"/>
      <c r="L12" s="31"/>
      <c r="M12" s="31">
        <v>2519</v>
      </c>
      <c r="N12" s="31"/>
      <c r="O12" s="31"/>
      <c r="P12" s="31">
        <v>16303</v>
      </c>
      <c r="Q12" s="31"/>
      <c r="R12" s="31"/>
      <c r="S12" s="31">
        <f>790+136+14</f>
        <v>940</v>
      </c>
      <c r="T12" s="31">
        <f>30</f>
        <v>30</v>
      </c>
      <c r="U12" s="11"/>
      <c r="V12" s="11"/>
      <c r="W12" s="11"/>
      <c r="X12" s="11"/>
      <c r="Y12" s="11"/>
      <c r="Z12" s="11"/>
      <c r="AA12" s="11"/>
      <c r="AB12" s="11"/>
    </row>
    <row r="13" spans="1:28" ht="18.75" customHeight="1">
      <c r="A13" s="29">
        <v>3</v>
      </c>
      <c r="B13" s="30" t="s">
        <v>32</v>
      </c>
      <c r="C13" s="31">
        <f t="shared" si="2"/>
        <v>9759</v>
      </c>
      <c r="D13" s="31">
        <v>30</v>
      </c>
      <c r="E13" s="31"/>
      <c r="F13" s="31"/>
      <c r="G13" s="31"/>
      <c r="H13" s="31"/>
      <c r="I13" s="31"/>
      <c r="J13" s="31"/>
      <c r="K13" s="31"/>
      <c r="L13" s="31"/>
      <c r="M13" s="31"/>
      <c r="N13" s="31"/>
      <c r="O13" s="31"/>
      <c r="P13" s="31">
        <v>9729</v>
      </c>
      <c r="Q13" s="31"/>
      <c r="R13" s="31"/>
      <c r="S13" s="31">
        <f>678+3</f>
        <v>681</v>
      </c>
      <c r="T13" s="31"/>
      <c r="U13" s="11"/>
      <c r="V13" s="11"/>
      <c r="W13" s="11"/>
      <c r="X13" s="11"/>
      <c r="Y13" s="11"/>
      <c r="Z13" s="11"/>
      <c r="AA13" s="11"/>
      <c r="AB13" s="11"/>
    </row>
    <row r="14" spans="1:28" ht="18.75" customHeight="1">
      <c r="A14" s="29">
        <v>4</v>
      </c>
      <c r="B14" s="30" t="s">
        <v>33</v>
      </c>
      <c r="C14" s="31">
        <f t="shared" si="2"/>
        <v>10106</v>
      </c>
      <c r="D14" s="31">
        <v>180</v>
      </c>
      <c r="E14" s="31"/>
      <c r="F14" s="31"/>
      <c r="G14" s="31"/>
      <c r="H14" s="31"/>
      <c r="I14" s="31"/>
      <c r="J14" s="31"/>
      <c r="K14" s="31"/>
      <c r="L14" s="31"/>
      <c r="M14" s="31"/>
      <c r="N14" s="31"/>
      <c r="O14" s="31"/>
      <c r="P14" s="31">
        <v>9926</v>
      </c>
      <c r="Q14" s="31"/>
      <c r="R14" s="31"/>
      <c r="S14" s="31">
        <f>383+18</f>
        <v>401</v>
      </c>
      <c r="T14" s="31"/>
      <c r="U14" s="11"/>
      <c r="V14" s="11"/>
      <c r="W14" s="11"/>
      <c r="X14" s="11"/>
      <c r="Y14" s="11"/>
      <c r="Z14" s="11"/>
      <c r="AA14" s="11"/>
      <c r="AB14" s="11"/>
    </row>
    <row r="15" spans="1:28" ht="37.5" customHeight="1">
      <c r="A15" s="29">
        <v>5</v>
      </c>
      <c r="B15" s="30" t="s">
        <v>34</v>
      </c>
      <c r="C15" s="31">
        <f t="shared" si="2"/>
        <v>38072</v>
      </c>
      <c r="D15" s="31">
        <v>95</v>
      </c>
      <c r="E15" s="31"/>
      <c r="F15" s="31"/>
      <c r="G15" s="31"/>
      <c r="H15" s="31"/>
      <c r="I15" s="31"/>
      <c r="J15" s="31"/>
      <c r="K15" s="31"/>
      <c r="L15" s="31">
        <v>7216</v>
      </c>
      <c r="M15" s="31">
        <v>22998</v>
      </c>
      <c r="N15" s="31"/>
      <c r="O15" s="31"/>
      <c r="P15" s="31">
        <v>7763</v>
      </c>
      <c r="Q15" s="31"/>
      <c r="R15" s="31"/>
      <c r="S15" s="31">
        <f>206+1760+673+10</f>
        <v>2649</v>
      </c>
      <c r="T15" s="31">
        <f>101+24</f>
        <v>125</v>
      </c>
      <c r="U15" s="11"/>
      <c r="V15" s="11"/>
      <c r="W15" s="11"/>
      <c r="X15" s="11"/>
      <c r="Y15" s="11"/>
      <c r="Z15" s="11"/>
      <c r="AA15" s="11"/>
      <c r="AB15" s="11"/>
    </row>
    <row r="16" spans="1:28" ht="37.5" customHeight="1">
      <c r="A16" s="29">
        <v>6</v>
      </c>
      <c r="B16" s="30" t="s">
        <v>35</v>
      </c>
      <c r="C16" s="31">
        <f>SUM(D16:M16)+P16+Q16+R16</f>
        <v>59459</v>
      </c>
      <c r="D16" s="32">
        <v>232</v>
      </c>
      <c r="E16" s="32"/>
      <c r="F16" s="32"/>
      <c r="G16" s="32"/>
      <c r="H16" s="32"/>
      <c r="I16" s="32"/>
      <c r="J16" s="32"/>
      <c r="K16" s="32"/>
      <c r="L16" s="32"/>
      <c r="M16" s="32">
        <f>38365-M61</f>
        <v>36501</v>
      </c>
      <c r="N16" s="32"/>
      <c r="O16" s="32">
        <f>M16</f>
        <v>36501</v>
      </c>
      <c r="P16" s="32">
        <v>22726</v>
      </c>
      <c r="Q16" s="32"/>
      <c r="R16" s="32"/>
      <c r="S16" s="32">
        <f>486+1904+23</f>
        <v>2413</v>
      </c>
      <c r="T16" s="32">
        <v>56</v>
      </c>
      <c r="U16" s="11"/>
      <c r="V16" s="11"/>
      <c r="W16" s="11"/>
      <c r="X16" s="11"/>
      <c r="Y16" s="11"/>
      <c r="Z16" s="11"/>
      <c r="AA16" s="11"/>
      <c r="AB16" s="11"/>
    </row>
    <row r="17" spans="1:28" ht="37.5" customHeight="1">
      <c r="A17" s="29">
        <v>7</v>
      </c>
      <c r="B17" s="30" t="s">
        <v>36</v>
      </c>
      <c r="C17" s="31">
        <f t="shared" si="2"/>
        <v>9509</v>
      </c>
      <c r="D17" s="32">
        <v>100</v>
      </c>
      <c r="E17" s="32"/>
      <c r="F17" s="32"/>
      <c r="G17" s="32"/>
      <c r="H17" s="32"/>
      <c r="I17" s="32"/>
      <c r="J17" s="32"/>
      <c r="K17" s="32"/>
      <c r="L17" s="32"/>
      <c r="M17" s="32">
        <v>3113</v>
      </c>
      <c r="N17" s="32"/>
      <c r="O17" s="32"/>
      <c r="P17" s="32">
        <v>6296</v>
      </c>
      <c r="Q17" s="32"/>
      <c r="R17" s="32"/>
      <c r="S17" s="32">
        <f>284+131+10</f>
        <v>425</v>
      </c>
      <c r="T17" s="32">
        <f>30</f>
        <v>30</v>
      </c>
      <c r="U17" s="11"/>
      <c r="V17" s="11"/>
      <c r="W17" s="11"/>
      <c r="X17" s="11"/>
      <c r="Y17" s="11"/>
      <c r="Z17" s="11"/>
      <c r="AA17" s="11"/>
      <c r="AB17" s="11"/>
    </row>
    <row r="18" spans="1:28" ht="18.75" customHeight="1">
      <c r="A18" s="29">
        <v>8</v>
      </c>
      <c r="B18" s="30" t="s">
        <v>37</v>
      </c>
      <c r="C18" s="31">
        <f t="shared" si="2"/>
        <v>328392</v>
      </c>
      <c r="D18" s="32">
        <f>315735+5300</f>
        <v>321035</v>
      </c>
      <c r="E18" s="32"/>
      <c r="F18" s="32"/>
      <c r="G18" s="32"/>
      <c r="H18" s="32"/>
      <c r="I18" s="32"/>
      <c r="J18" s="32"/>
      <c r="K18" s="32"/>
      <c r="L18" s="32"/>
      <c r="M18" s="32"/>
      <c r="N18" s="32"/>
      <c r="O18" s="32"/>
      <c r="P18" s="32">
        <v>7357</v>
      </c>
      <c r="Q18" s="32"/>
      <c r="R18" s="32"/>
      <c r="S18" s="32">
        <f>128+4553+530</f>
        <v>5211</v>
      </c>
      <c r="T18" s="32">
        <v>10189</v>
      </c>
      <c r="U18" s="11"/>
      <c r="V18" s="11"/>
      <c r="W18" s="11"/>
      <c r="X18" s="11"/>
      <c r="Y18" s="11"/>
      <c r="Z18" s="11"/>
      <c r="AA18" s="11"/>
      <c r="AB18" s="11"/>
    </row>
    <row r="19" spans="1:28" ht="18.75" customHeight="1">
      <c r="A19" s="29">
        <v>9</v>
      </c>
      <c r="B19" s="30" t="s">
        <v>38</v>
      </c>
      <c r="C19" s="31">
        <f t="shared" si="2"/>
        <v>15681</v>
      </c>
      <c r="D19" s="32">
        <v>1083</v>
      </c>
      <c r="E19" s="32"/>
      <c r="F19" s="32"/>
      <c r="G19" s="32"/>
      <c r="H19" s="32"/>
      <c r="I19" s="32"/>
      <c r="J19" s="32"/>
      <c r="K19" s="32"/>
      <c r="L19" s="32"/>
      <c r="M19" s="32"/>
      <c r="N19" s="32"/>
      <c r="O19" s="32"/>
      <c r="P19" s="32">
        <v>14598</v>
      </c>
      <c r="Q19" s="32"/>
      <c r="R19" s="32"/>
      <c r="S19" s="32">
        <f>1017</f>
        <v>1017</v>
      </c>
      <c r="T19" s="32">
        <f>168</f>
        <v>168</v>
      </c>
      <c r="U19" s="11"/>
      <c r="V19" s="11"/>
      <c r="W19" s="11"/>
      <c r="X19" s="11"/>
      <c r="Y19" s="11"/>
      <c r="Z19" s="11"/>
      <c r="AA19" s="11"/>
      <c r="AB19" s="11"/>
    </row>
    <row r="20" spans="1:28" ht="18.75" customHeight="1">
      <c r="A20" s="29">
        <v>10</v>
      </c>
      <c r="B20" s="30" t="s">
        <v>39</v>
      </c>
      <c r="C20" s="31">
        <f t="shared" si="2"/>
        <v>9779</v>
      </c>
      <c r="D20" s="32">
        <v>120</v>
      </c>
      <c r="E20" s="32"/>
      <c r="F20" s="32"/>
      <c r="G20" s="32"/>
      <c r="H20" s="32"/>
      <c r="I20" s="32"/>
      <c r="J20" s="32"/>
      <c r="K20" s="32"/>
      <c r="L20" s="32"/>
      <c r="M20" s="32">
        <v>1003</v>
      </c>
      <c r="N20" s="32"/>
      <c r="O20" s="32"/>
      <c r="P20" s="32">
        <v>8656</v>
      </c>
      <c r="Q20" s="32"/>
      <c r="R20" s="32"/>
      <c r="S20" s="32">
        <f>167+14+12</f>
        <v>193</v>
      </c>
      <c r="T20" s="32">
        <f>40</f>
        <v>40</v>
      </c>
      <c r="U20" s="11"/>
      <c r="V20" s="11"/>
      <c r="W20" s="11"/>
      <c r="X20" s="11"/>
      <c r="Y20" s="11"/>
      <c r="Z20" s="11"/>
      <c r="AA20" s="11"/>
      <c r="AB20" s="11"/>
    </row>
    <row r="21" spans="1:28" ht="18.75" customHeight="1">
      <c r="A21" s="29">
        <v>11</v>
      </c>
      <c r="B21" s="30" t="s">
        <v>40</v>
      </c>
      <c r="C21" s="31">
        <f t="shared" si="2"/>
        <v>50078</v>
      </c>
      <c r="D21" s="32">
        <f>3515+200</f>
        <v>3715</v>
      </c>
      <c r="E21" s="32"/>
      <c r="F21" s="32"/>
      <c r="G21" s="32"/>
      <c r="H21" s="32"/>
      <c r="I21" s="32"/>
      <c r="J21" s="32"/>
      <c r="K21" s="32"/>
      <c r="L21" s="32"/>
      <c r="M21" s="32">
        <v>2026</v>
      </c>
      <c r="N21" s="32"/>
      <c r="O21" s="32"/>
      <c r="P21" s="32">
        <v>5902</v>
      </c>
      <c r="Q21" s="32">
        <v>38435</v>
      </c>
      <c r="R21" s="32"/>
      <c r="S21" s="32">
        <f>159+81+941+41+20</f>
        <v>1242</v>
      </c>
      <c r="T21" s="32">
        <f>1264+116+185</f>
        <v>1565</v>
      </c>
      <c r="U21" s="11"/>
      <c r="V21" s="11"/>
      <c r="W21" s="11"/>
      <c r="X21" s="11"/>
      <c r="Y21" s="11"/>
      <c r="Z21" s="11"/>
      <c r="AA21" s="11"/>
      <c r="AB21" s="11"/>
    </row>
    <row r="22" spans="1:28" ht="18.75" customHeight="1">
      <c r="A22" s="29">
        <v>12</v>
      </c>
      <c r="B22" s="30" t="s">
        <v>41</v>
      </c>
      <c r="C22" s="31">
        <f t="shared" si="2"/>
        <v>13609</v>
      </c>
      <c r="D22" s="32">
        <v>200</v>
      </c>
      <c r="E22" s="32"/>
      <c r="F22" s="32"/>
      <c r="G22" s="32"/>
      <c r="H22" s="32"/>
      <c r="I22" s="32"/>
      <c r="J22" s="32"/>
      <c r="K22" s="32"/>
      <c r="L22" s="32"/>
      <c r="M22" s="32">
        <v>6843</v>
      </c>
      <c r="N22" s="32"/>
      <c r="O22" s="32"/>
      <c r="P22" s="32">
        <v>6566</v>
      </c>
      <c r="Q22" s="32"/>
      <c r="R22" s="32"/>
      <c r="S22" s="32">
        <f>305+570+20</f>
        <v>895</v>
      </c>
      <c r="T22" s="32">
        <v>16</v>
      </c>
      <c r="U22" s="11"/>
      <c r="V22" s="11"/>
      <c r="W22" s="11"/>
      <c r="X22" s="11"/>
      <c r="Y22" s="11"/>
      <c r="Z22" s="11"/>
      <c r="AA22" s="11"/>
      <c r="AB22" s="11"/>
    </row>
    <row r="23" spans="1:28" ht="18.75" customHeight="1">
      <c r="A23" s="29">
        <v>13</v>
      </c>
      <c r="B23" s="30" t="s">
        <v>42</v>
      </c>
      <c r="C23" s="31">
        <f t="shared" si="2"/>
        <v>200686</v>
      </c>
      <c r="D23" s="32">
        <v>13333</v>
      </c>
      <c r="E23" s="32"/>
      <c r="F23" s="32"/>
      <c r="G23" s="32"/>
      <c r="H23" s="32">
        <v>175665</v>
      </c>
      <c r="I23" s="32"/>
      <c r="J23" s="32"/>
      <c r="K23" s="32"/>
      <c r="L23" s="32">
        <v>2000</v>
      </c>
      <c r="M23" s="32"/>
      <c r="N23" s="32"/>
      <c r="O23" s="32"/>
      <c r="P23" s="32">
        <v>9688</v>
      </c>
      <c r="Q23" s="32"/>
      <c r="R23" s="32"/>
      <c r="S23" s="32">
        <f>187+333+397+200</f>
        <v>1117</v>
      </c>
      <c r="T23" s="32">
        <f>64+30268</f>
        <v>30332</v>
      </c>
      <c r="U23" s="11"/>
      <c r="V23" s="11"/>
      <c r="W23" s="11"/>
      <c r="X23" s="11"/>
      <c r="Y23" s="11"/>
      <c r="Z23" s="11"/>
      <c r="AA23" s="11"/>
      <c r="AB23" s="11"/>
    </row>
    <row r="24" spans="1:28" ht="18.75" customHeight="1">
      <c r="A24" s="29">
        <v>14</v>
      </c>
      <c r="B24" s="30" t="s">
        <v>43</v>
      </c>
      <c r="C24" s="31">
        <f t="shared" si="2"/>
        <v>7233</v>
      </c>
      <c r="D24" s="32">
        <v>275</v>
      </c>
      <c r="E24" s="32"/>
      <c r="F24" s="32"/>
      <c r="G24" s="32"/>
      <c r="H24" s="32"/>
      <c r="I24" s="32"/>
      <c r="J24" s="32"/>
      <c r="K24" s="32"/>
      <c r="L24" s="32"/>
      <c r="M24" s="32"/>
      <c r="N24" s="32"/>
      <c r="O24" s="32"/>
      <c r="P24" s="32">
        <v>6958</v>
      </c>
      <c r="Q24" s="32"/>
      <c r="R24" s="32"/>
      <c r="S24" s="32">
        <f>245+25</f>
        <v>270</v>
      </c>
      <c r="T24" s="32"/>
      <c r="U24" s="11"/>
      <c r="V24" s="11"/>
      <c r="W24" s="11"/>
      <c r="X24" s="11"/>
      <c r="Y24" s="11"/>
      <c r="Z24" s="11"/>
      <c r="AA24" s="11"/>
      <c r="AB24" s="11"/>
    </row>
    <row r="25" spans="1:28" ht="37.5" customHeight="1">
      <c r="A25" s="29">
        <v>15</v>
      </c>
      <c r="B25" s="30" t="s">
        <v>44</v>
      </c>
      <c r="C25" s="31">
        <f t="shared" si="2"/>
        <v>45443</v>
      </c>
      <c r="D25" s="32"/>
      <c r="E25" s="32"/>
      <c r="F25" s="32"/>
      <c r="G25" s="32"/>
      <c r="H25" s="32"/>
      <c r="I25" s="32"/>
      <c r="J25" s="32"/>
      <c r="K25" s="32"/>
      <c r="L25" s="32"/>
      <c r="M25" s="32">
        <v>34298</v>
      </c>
      <c r="N25" s="32">
        <v>34298</v>
      </c>
      <c r="O25" s="32"/>
      <c r="P25" s="32">
        <v>11145</v>
      </c>
      <c r="Q25" s="32"/>
      <c r="R25" s="32"/>
      <c r="S25" s="32">
        <f>440+3353</f>
        <v>3793</v>
      </c>
      <c r="T25" s="32">
        <f>230+75</f>
        <v>305</v>
      </c>
      <c r="U25" s="11"/>
      <c r="V25" s="11"/>
      <c r="W25" s="11"/>
      <c r="X25" s="11"/>
      <c r="Y25" s="11"/>
      <c r="Z25" s="11"/>
      <c r="AA25" s="11"/>
      <c r="AB25" s="11"/>
    </row>
    <row r="26" spans="1:28" ht="18.75" customHeight="1">
      <c r="A26" s="29">
        <v>16</v>
      </c>
      <c r="B26" s="30" t="s">
        <v>45</v>
      </c>
      <c r="C26" s="31">
        <f t="shared" si="2"/>
        <v>53034</v>
      </c>
      <c r="D26" s="32">
        <f>12234+220</f>
        <v>12454</v>
      </c>
      <c r="E26" s="32"/>
      <c r="F26" s="32"/>
      <c r="G26" s="32"/>
      <c r="H26" s="32"/>
      <c r="I26" s="32">
        <v>19712</v>
      </c>
      <c r="J26" s="32"/>
      <c r="K26" s="32">
        <v>14944</v>
      </c>
      <c r="L26" s="32"/>
      <c r="M26" s="32"/>
      <c r="N26" s="32"/>
      <c r="O26" s="32"/>
      <c r="P26" s="32">
        <v>5924</v>
      </c>
      <c r="Q26" s="32"/>
      <c r="R26" s="32"/>
      <c r="S26" s="32">
        <f>148+973+1104+1352+20</f>
        <v>3597</v>
      </c>
      <c r="T26" s="32">
        <f>13+290+34</f>
        <v>337</v>
      </c>
      <c r="U26" s="11"/>
      <c r="V26" s="11"/>
      <c r="W26" s="11"/>
      <c r="X26" s="11"/>
      <c r="Y26" s="11"/>
      <c r="Z26" s="11"/>
      <c r="AA26" s="11"/>
      <c r="AB26" s="11"/>
    </row>
    <row r="27" spans="1:28" ht="18.75" customHeight="1">
      <c r="A27" s="29">
        <v>17</v>
      </c>
      <c r="B27" s="30" t="s">
        <v>46</v>
      </c>
      <c r="C27" s="31">
        <f t="shared" si="2"/>
        <v>17255</v>
      </c>
      <c r="D27" s="32">
        <v>60</v>
      </c>
      <c r="E27" s="32"/>
      <c r="F27" s="32"/>
      <c r="G27" s="32"/>
      <c r="H27" s="32"/>
      <c r="I27" s="32"/>
      <c r="J27" s="32"/>
      <c r="K27" s="32"/>
      <c r="L27" s="32">
        <v>600</v>
      </c>
      <c r="M27" s="32">
        <v>10484</v>
      </c>
      <c r="N27" s="32"/>
      <c r="O27" s="32"/>
      <c r="P27" s="32">
        <v>6111</v>
      </c>
      <c r="Q27" s="32"/>
      <c r="R27" s="32"/>
      <c r="S27" s="32">
        <f>189+470+60+6</f>
        <v>725</v>
      </c>
      <c r="T27" s="32"/>
      <c r="U27" s="11"/>
      <c r="V27" s="11"/>
      <c r="W27" s="11"/>
      <c r="X27" s="11"/>
      <c r="Y27" s="11"/>
      <c r="Z27" s="11"/>
      <c r="AA27" s="11"/>
      <c r="AB27" s="11"/>
    </row>
    <row r="28" spans="1:28" ht="18.75">
      <c r="A28" s="29">
        <v>18</v>
      </c>
      <c r="B28" s="30" t="s">
        <v>47</v>
      </c>
      <c r="C28" s="31">
        <f t="shared" si="2"/>
        <v>29208</v>
      </c>
      <c r="D28" s="32">
        <v>140</v>
      </c>
      <c r="E28" s="32"/>
      <c r="F28" s="32"/>
      <c r="G28" s="32"/>
      <c r="H28" s="32"/>
      <c r="I28" s="32"/>
      <c r="J28" s="32"/>
      <c r="K28" s="32"/>
      <c r="L28" s="32"/>
      <c r="M28" s="32"/>
      <c r="N28" s="32"/>
      <c r="O28" s="32"/>
      <c r="P28" s="32">
        <v>15068</v>
      </c>
      <c r="Q28" s="32"/>
      <c r="R28" s="32">
        <v>14000</v>
      </c>
      <c r="S28" s="32">
        <f>823+14</f>
        <v>837</v>
      </c>
      <c r="T28" s="32">
        <f>42</f>
        <v>42</v>
      </c>
      <c r="U28" s="11"/>
      <c r="V28" s="11"/>
      <c r="W28" s="11"/>
      <c r="X28" s="11"/>
      <c r="Y28" s="11"/>
      <c r="Z28" s="11"/>
      <c r="AA28" s="11"/>
      <c r="AB28" s="11"/>
    </row>
    <row r="29" spans="1:28" ht="18.75" customHeight="1">
      <c r="A29" s="29">
        <v>19</v>
      </c>
      <c r="B29" s="30" t="s">
        <v>48</v>
      </c>
      <c r="C29" s="31">
        <f t="shared" si="2"/>
        <v>24127</v>
      </c>
      <c r="D29" s="32">
        <v>55</v>
      </c>
      <c r="E29" s="32">
        <v>19309</v>
      </c>
      <c r="F29" s="32"/>
      <c r="G29" s="32"/>
      <c r="H29" s="32"/>
      <c r="I29" s="32"/>
      <c r="J29" s="32"/>
      <c r="K29" s="32"/>
      <c r="L29" s="32"/>
      <c r="M29" s="32"/>
      <c r="N29" s="32"/>
      <c r="O29" s="32"/>
      <c r="P29" s="32">
        <v>4763</v>
      </c>
      <c r="Q29" s="32"/>
      <c r="R29" s="32"/>
      <c r="S29" s="32">
        <f>119+1757+6</f>
        <v>1882</v>
      </c>
      <c r="T29" s="32">
        <v>399</v>
      </c>
      <c r="U29" s="11"/>
      <c r="V29" s="11"/>
      <c r="W29" s="11"/>
      <c r="X29" s="11"/>
      <c r="Y29" s="11"/>
      <c r="Z29" s="11"/>
      <c r="AA29" s="11"/>
      <c r="AB29" s="11"/>
    </row>
    <row r="30" spans="1:28" ht="18.75" customHeight="1">
      <c r="A30" s="29">
        <v>20</v>
      </c>
      <c r="B30" s="30" t="s">
        <v>49</v>
      </c>
      <c r="C30" s="31">
        <f t="shared" si="2"/>
        <v>4655</v>
      </c>
      <c r="D30" s="32">
        <v>15</v>
      </c>
      <c r="E30" s="32"/>
      <c r="F30" s="32"/>
      <c r="G30" s="32"/>
      <c r="H30" s="32"/>
      <c r="I30" s="32"/>
      <c r="J30" s="32"/>
      <c r="K30" s="32"/>
      <c r="L30" s="32">
        <v>300</v>
      </c>
      <c r="M30" s="32">
        <f>1495</f>
        <v>1495</v>
      </c>
      <c r="N30" s="32"/>
      <c r="O30" s="32"/>
      <c r="P30" s="32">
        <v>2845</v>
      </c>
      <c r="Q30" s="32"/>
      <c r="R30" s="32"/>
      <c r="S30" s="32">
        <f>112+150+30+1</f>
        <v>293</v>
      </c>
      <c r="T30" s="32"/>
      <c r="U30" s="11"/>
      <c r="V30" s="11"/>
      <c r="W30" s="11"/>
      <c r="X30" s="11"/>
      <c r="Y30" s="11"/>
      <c r="Z30" s="11"/>
      <c r="AA30" s="11"/>
      <c r="AB30" s="11"/>
    </row>
    <row r="31" spans="1:28" ht="18.75" customHeight="1">
      <c r="A31" s="29">
        <v>21</v>
      </c>
      <c r="B31" s="30" t="s">
        <v>50</v>
      </c>
      <c r="C31" s="31">
        <f t="shared" si="2"/>
        <v>1760</v>
      </c>
      <c r="D31" s="32"/>
      <c r="E31" s="32"/>
      <c r="F31" s="32"/>
      <c r="G31" s="32"/>
      <c r="H31" s="32"/>
      <c r="I31" s="32"/>
      <c r="J31" s="32"/>
      <c r="K31" s="32"/>
      <c r="L31" s="32"/>
      <c r="M31" s="32"/>
      <c r="N31" s="32"/>
      <c r="O31" s="32"/>
      <c r="P31" s="32">
        <v>1760</v>
      </c>
      <c r="Q31" s="32"/>
      <c r="R31" s="32"/>
      <c r="S31" s="32">
        <f>115</f>
        <v>115</v>
      </c>
      <c r="T31" s="32"/>
      <c r="U31" s="11"/>
      <c r="V31" s="11"/>
      <c r="W31" s="11"/>
      <c r="X31" s="11"/>
      <c r="Y31" s="11"/>
      <c r="Z31" s="11"/>
      <c r="AA31" s="11"/>
      <c r="AB31" s="11"/>
    </row>
    <row r="32" spans="1:28" ht="18.75" customHeight="1">
      <c r="A32" s="29">
        <v>22</v>
      </c>
      <c r="B32" s="30" t="s">
        <v>51</v>
      </c>
      <c r="C32" s="31">
        <f t="shared" si="2"/>
        <v>4022</v>
      </c>
      <c r="D32" s="32"/>
      <c r="E32" s="32"/>
      <c r="F32" s="32"/>
      <c r="G32" s="32"/>
      <c r="H32" s="32"/>
      <c r="I32" s="32"/>
      <c r="J32" s="32">
        <v>4022</v>
      </c>
      <c r="K32" s="32"/>
      <c r="L32" s="32"/>
      <c r="M32" s="32"/>
      <c r="N32" s="32"/>
      <c r="O32" s="32"/>
      <c r="P32" s="32"/>
      <c r="Q32" s="32"/>
      <c r="R32" s="32"/>
      <c r="S32" s="32"/>
      <c r="T32" s="32"/>
      <c r="U32" s="11"/>
      <c r="V32" s="11"/>
      <c r="W32" s="11"/>
      <c r="X32" s="11"/>
      <c r="Y32" s="11"/>
      <c r="Z32" s="11"/>
      <c r="AA32" s="11"/>
      <c r="AB32" s="11"/>
    </row>
    <row r="33" spans="1:28" ht="18.75" customHeight="1">
      <c r="A33" s="29">
        <v>23</v>
      </c>
      <c r="B33" s="30" t="s">
        <v>52</v>
      </c>
      <c r="C33" s="31">
        <f t="shared" si="2"/>
        <v>6206</v>
      </c>
      <c r="D33" s="32">
        <v>28</v>
      </c>
      <c r="E33" s="32"/>
      <c r="F33" s="32"/>
      <c r="G33" s="32"/>
      <c r="H33" s="32"/>
      <c r="I33" s="32"/>
      <c r="J33" s="32"/>
      <c r="K33" s="32"/>
      <c r="L33" s="32"/>
      <c r="M33" s="32"/>
      <c r="N33" s="32"/>
      <c r="O33" s="32"/>
      <c r="P33" s="32">
        <v>6178</v>
      </c>
      <c r="Q33" s="32"/>
      <c r="R33" s="32"/>
      <c r="S33" s="32">
        <f>344+3</f>
        <v>347</v>
      </c>
      <c r="T33" s="32"/>
      <c r="U33" s="11"/>
      <c r="V33" s="11"/>
      <c r="W33" s="11"/>
      <c r="X33" s="11"/>
      <c r="Y33" s="11"/>
      <c r="Z33" s="11"/>
      <c r="AA33" s="11"/>
      <c r="AB33" s="11"/>
    </row>
    <row r="34" spans="1:28" ht="33">
      <c r="A34" s="29">
        <v>24</v>
      </c>
      <c r="B34" s="30" t="s">
        <v>106</v>
      </c>
      <c r="C34" s="31">
        <f t="shared" si="2"/>
        <v>7398</v>
      </c>
      <c r="D34" s="32">
        <f>375+25</f>
        <v>400</v>
      </c>
      <c r="E34" s="32"/>
      <c r="F34" s="32"/>
      <c r="G34" s="32"/>
      <c r="H34" s="32"/>
      <c r="I34" s="32">
        <v>1881</v>
      </c>
      <c r="J34" s="32"/>
      <c r="K34" s="32"/>
      <c r="L34" s="32"/>
      <c r="M34" s="32"/>
      <c r="N34" s="32"/>
      <c r="O34" s="32"/>
      <c r="P34" s="32">
        <v>5117</v>
      </c>
      <c r="Q34" s="32"/>
      <c r="R34" s="32"/>
      <c r="S34" s="32">
        <f>274+38+96+3</f>
        <v>411</v>
      </c>
      <c r="T34" s="32"/>
      <c r="U34" s="11"/>
      <c r="V34" s="11"/>
      <c r="W34" s="11"/>
      <c r="X34" s="11"/>
      <c r="Y34" s="11"/>
      <c r="Z34" s="11"/>
      <c r="AA34" s="11"/>
      <c r="AB34" s="11"/>
    </row>
    <row r="35" spans="1:28" ht="18.75" customHeight="1">
      <c r="A35" s="29">
        <v>25</v>
      </c>
      <c r="B35" s="30" t="s">
        <v>53</v>
      </c>
      <c r="C35" s="31">
        <f t="shared" si="2"/>
        <v>4759</v>
      </c>
      <c r="D35" s="32">
        <v>70</v>
      </c>
      <c r="E35" s="32"/>
      <c r="F35" s="32"/>
      <c r="G35" s="32"/>
      <c r="H35" s="32"/>
      <c r="I35" s="32"/>
      <c r="J35" s="32"/>
      <c r="K35" s="32"/>
      <c r="L35" s="32"/>
      <c r="M35" s="32"/>
      <c r="N35" s="32"/>
      <c r="O35" s="32"/>
      <c r="P35" s="32">
        <v>4689</v>
      </c>
      <c r="Q35" s="32"/>
      <c r="R35" s="32"/>
      <c r="S35" s="32">
        <f>200+7</f>
        <v>207</v>
      </c>
      <c r="T35" s="32"/>
      <c r="U35" s="11"/>
      <c r="V35" s="11"/>
      <c r="W35" s="11"/>
      <c r="X35" s="11"/>
      <c r="Y35" s="11"/>
      <c r="Z35" s="11"/>
      <c r="AA35" s="11"/>
      <c r="AB35" s="11"/>
    </row>
    <row r="36" spans="1:28" ht="18.75" customHeight="1">
      <c r="A36" s="29">
        <v>26</v>
      </c>
      <c r="B36" s="30" t="s">
        <v>54</v>
      </c>
      <c r="C36" s="31">
        <f t="shared" si="2"/>
        <v>4742</v>
      </c>
      <c r="D36" s="32"/>
      <c r="E36" s="32"/>
      <c r="F36" s="32"/>
      <c r="G36" s="32"/>
      <c r="H36" s="32"/>
      <c r="I36" s="32"/>
      <c r="J36" s="32"/>
      <c r="K36" s="32"/>
      <c r="L36" s="32"/>
      <c r="M36" s="32"/>
      <c r="N36" s="32"/>
      <c r="O36" s="32"/>
      <c r="P36" s="32">
        <v>4742</v>
      </c>
      <c r="Q36" s="32"/>
      <c r="R36" s="32"/>
      <c r="S36" s="32">
        <f>214</f>
        <v>214</v>
      </c>
      <c r="T36" s="32"/>
      <c r="U36" s="11"/>
      <c r="V36" s="11"/>
      <c r="W36" s="11"/>
      <c r="X36" s="11"/>
      <c r="Y36" s="11"/>
      <c r="Z36" s="11"/>
      <c r="AA36" s="11"/>
      <c r="AB36" s="11"/>
    </row>
    <row r="37" spans="1:28" ht="18.75" customHeight="1">
      <c r="A37" s="29">
        <v>27</v>
      </c>
      <c r="B37" s="30" t="s">
        <v>55</v>
      </c>
      <c r="C37" s="31">
        <f t="shared" si="2"/>
        <v>2679</v>
      </c>
      <c r="D37" s="32"/>
      <c r="E37" s="32"/>
      <c r="F37" s="32"/>
      <c r="G37" s="32"/>
      <c r="H37" s="32"/>
      <c r="I37" s="32"/>
      <c r="J37" s="32"/>
      <c r="K37" s="32"/>
      <c r="L37" s="32"/>
      <c r="M37" s="32"/>
      <c r="N37" s="32"/>
      <c r="O37" s="32"/>
      <c r="P37" s="32">
        <v>2679</v>
      </c>
      <c r="Q37" s="32"/>
      <c r="R37" s="32"/>
      <c r="S37" s="32">
        <f>123</f>
        <v>123</v>
      </c>
      <c r="T37" s="32"/>
      <c r="U37" s="11"/>
      <c r="V37" s="11"/>
      <c r="W37" s="11"/>
      <c r="X37" s="11"/>
      <c r="Y37" s="11"/>
      <c r="Z37" s="11"/>
      <c r="AA37" s="11"/>
      <c r="AB37" s="11"/>
    </row>
    <row r="38" spans="1:28" ht="18.75" customHeight="1">
      <c r="A38" s="29">
        <v>28</v>
      </c>
      <c r="B38" s="30" t="s">
        <v>56</v>
      </c>
      <c r="C38" s="31">
        <f t="shared" si="2"/>
        <v>24721</v>
      </c>
      <c r="D38" s="32">
        <v>24721</v>
      </c>
      <c r="E38" s="32"/>
      <c r="F38" s="32"/>
      <c r="G38" s="32"/>
      <c r="H38" s="32"/>
      <c r="I38" s="32"/>
      <c r="J38" s="32"/>
      <c r="K38" s="32"/>
      <c r="L38" s="32"/>
      <c r="M38" s="32"/>
      <c r="N38" s="32"/>
      <c r="O38" s="32"/>
      <c r="P38" s="32"/>
      <c r="Q38" s="32"/>
      <c r="R38" s="32"/>
      <c r="S38" s="32">
        <v>507</v>
      </c>
      <c r="T38" s="32">
        <v>3735</v>
      </c>
      <c r="U38" s="11"/>
      <c r="V38" s="11"/>
      <c r="W38" s="11"/>
      <c r="X38" s="11"/>
      <c r="Y38" s="11"/>
      <c r="Z38" s="11"/>
      <c r="AA38" s="11"/>
      <c r="AB38" s="11"/>
    </row>
    <row r="39" spans="1:28" ht="18.75" customHeight="1">
      <c r="A39" s="29">
        <v>29</v>
      </c>
      <c r="B39" s="30" t="s">
        <v>57</v>
      </c>
      <c r="C39" s="31">
        <f t="shared" si="2"/>
        <v>12017</v>
      </c>
      <c r="D39" s="32">
        <v>12017</v>
      </c>
      <c r="E39" s="32"/>
      <c r="F39" s="32"/>
      <c r="G39" s="32"/>
      <c r="H39" s="32"/>
      <c r="I39" s="32"/>
      <c r="J39" s="32"/>
      <c r="K39" s="32"/>
      <c r="L39" s="32"/>
      <c r="M39" s="32"/>
      <c r="N39" s="32"/>
      <c r="O39" s="32"/>
      <c r="P39" s="32"/>
      <c r="Q39" s="32"/>
      <c r="R39" s="32"/>
      <c r="S39" s="32">
        <v>782</v>
      </c>
      <c r="T39" s="32"/>
      <c r="U39" s="11"/>
      <c r="V39" s="11"/>
      <c r="W39" s="11"/>
      <c r="X39" s="11"/>
      <c r="Y39" s="11"/>
      <c r="Z39" s="11"/>
      <c r="AA39" s="11"/>
      <c r="AB39" s="11"/>
    </row>
    <row r="40" spans="1:28" ht="18.75" customHeight="1">
      <c r="A40" s="29">
        <v>30</v>
      </c>
      <c r="B40" s="30" t="s">
        <v>58</v>
      </c>
      <c r="C40" s="31">
        <f t="shared" si="2"/>
        <v>33333</v>
      </c>
      <c r="D40" s="32"/>
      <c r="E40" s="32"/>
      <c r="F40" s="32">
        <v>33333</v>
      </c>
      <c r="G40" s="32"/>
      <c r="H40" s="32"/>
      <c r="I40" s="32"/>
      <c r="J40" s="32"/>
      <c r="K40" s="32"/>
      <c r="L40" s="32"/>
      <c r="M40" s="32"/>
      <c r="N40" s="32"/>
      <c r="O40" s="32"/>
      <c r="P40" s="32"/>
      <c r="Q40" s="32"/>
      <c r="R40" s="32"/>
      <c r="S40" s="32">
        <v>3333</v>
      </c>
      <c r="T40" s="32"/>
      <c r="U40" s="11"/>
      <c r="V40" s="11"/>
      <c r="W40" s="11"/>
      <c r="X40" s="11"/>
      <c r="Y40" s="11"/>
      <c r="Z40" s="11"/>
      <c r="AA40" s="11"/>
      <c r="AB40" s="11"/>
    </row>
    <row r="41" spans="1:28" ht="18.75" customHeight="1">
      <c r="A41" s="29">
        <v>31</v>
      </c>
      <c r="B41" s="30" t="s">
        <v>59</v>
      </c>
      <c r="C41" s="31">
        <f t="shared" si="2"/>
        <v>3889</v>
      </c>
      <c r="D41" s="32"/>
      <c r="E41" s="32"/>
      <c r="F41" s="32">
        <v>3889</v>
      </c>
      <c r="G41" s="32"/>
      <c r="H41" s="32"/>
      <c r="I41" s="32"/>
      <c r="J41" s="32"/>
      <c r="K41" s="32"/>
      <c r="L41" s="32"/>
      <c r="M41" s="32"/>
      <c r="N41" s="32"/>
      <c r="O41" s="32"/>
      <c r="P41" s="32"/>
      <c r="Q41" s="32"/>
      <c r="R41" s="32"/>
      <c r="S41" s="32">
        <v>389</v>
      </c>
      <c r="T41" s="32"/>
      <c r="U41" s="11"/>
      <c r="V41" s="11"/>
      <c r="W41" s="11"/>
      <c r="X41" s="11"/>
      <c r="Y41" s="11"/>
      <c r="Z41" s="11"/>
      <c r="AA41" s="11"/>
      <c r="AB41" s="11"/>
    </row>
    <row r="42" spans="1:28" ht="18.75" customHeight="1">
      <c r="A42" s="29">
        <v>32</v>
      </c>
      <c r="B42" s="30" t="s">
        <v>60</v>
      </c>
      <c r="C42" s="31">
        <f t="shared" si="2"/>
        <v>5756</v>
      </c>
      <c r="D42" s="32">
        <v>340</v>
      </c>
      <c r="E42" s="32"/>
      <c r="F42" s="32"/>
      <c r="G42" s="32">
        <v>4394</v>
      </c>
      <c r="H42" s="32"/>
      <c r="I42" s="32"/>
      <c r="J42" s="32"/>
      <c r="K42" s="32"/>
      <c r="L42" s="32">
        <v>1022</v>
      </c>
      <c r="M42" s="32"/>
      <c r="N42" s="32"/>
      <c r="O42" s="32"/>
      <c r="P42" s="32"/>
      <c r="Q42" s="32"/>
      <c r="R42" s="32"/>
      <c r="S42" s="32">
        <f>102+439</f>
        <v>541</v>
      </c>
      <c r="T42" s="32"/>
      <c r="U42" s="11"/>
      <c r="V42" s="11"/>
      <c r="W42" s="11"/>
      <c r="X42" s="11"/>
      <c r="Y42" s="11"/>
      <c r="Z42" s="11"/>
      <c r="AA42" s="11"/>
      <c r="AB42" s="11"/>
    </row>
    <row r="43" spans="1:28" ht="37.5" customHeight="1">
      <c r="A43" s="29">
        <v>33</v>
      </c>
      <c r="B43" s="30" t="s">
        <v>61</v>
      </c>
      <c r="C43" s="31">
        <f t="shared" si="2"/>
        <v>1947</v>
      </c>
      <c r="D43" s="32"/>
      <c r="E43" s="32"/>
      <c r="F43" s="32"/>
      <c r="G43" s="32"/>
      <c r="H43" s="32"/>
      <c r="I43" s="32">
        <v>1947</v>
      </c>
      <c r="J43" s="32"/>
      <c r="K43" s="32"/>
      <c r="L43" s="32"/>
      <c r="M43" s="32"/>
      <c r="N43" s="32"/>
      <c r="O43" s="32"/>
      <c r="P43" s="32"/>
      <c r="Q43" s="32"/>
      <c r="R43" s="32"/>
      <c r="S43" s="32">
        <v>131</v>
      </c>
      <c r="T43" s="32"/>
      <c r="U43" s="11"/>
      <c r="V43" s="11"/>
      <c r="W43" s="11"/>
      <c r="X43" s="11"/>
      <c r="Y43" s="11"/>
      <c r="Z43" s="11"/>
      <c r="AA43" s="11"/>
      <c r="AB43" s="11"/>
    </row>
    <row r="44" spans="1:28" ht="18.75" customHeight="1">
      <c r="A44" s="29">
        <v>34</v>
      </c>
      <c r="B44" s="30" t="s">
        <v>63</v>
      </c>
      <c r="C44" s="31">
        <f t="shared" ref="C44:C49" si="5">SUM(D44:M44)+P44+Q44+R44</f>
        <v>688</v>
      </c>
      <c r="D44" s="32"/>
      <c r="E44" s="32"/>
      <c r="F44" s="32"/>
      <c r="G44" s="32"/>
      <c r="H44" s="32"/>
      <c r="I44" s="32"/>
      <c r="J44" s="32"/>
      <c r="K44" s="32"/>
      <c r="L44" s="32"/>
      <c r="M44" s="32"/>
      <c r="N44" s="32"/>
      <c r="O44" s="32"/>
      <c r="P44" s="32">
        <v>688</v>
      </c>
      <c r="Q44" s="32"/>
      <c r="R44" s="32"/>
      <c r="S44" s="32">
        <v>26</v>
      </c>
      <c r="T44" s="32"/>
      <c r="U44" s="11"/>
      <c r="V44" s="11"/>
      <c r="W44" s="11"/>
      <c r="X44" s="11"/>
      <c r="Y44" s="11"/>
      <c r="Z44" s="11"/>
      <c r="AA44" s="11"/>
      <c r="AB44" s="11"/>
    </row>
    <row r="45" spans="1:28" ht="18.75" customHeight="1">
      <c r="A45" s="29">
        <v>35</v>
      </c>
      <c r="B45" s="30" t="s">
        <v>64</v>
      </c>
      <c r="C45" s="31">
        <f t="shared" si="5"/>
        <v>2339</v>
      </c>
      <c r="D45" s="32">
        <v>2</v>
      </c>
      <c r="E45" s="32"/>
      <c r="F45" s="32"/>
      <c r="G45" s="32"/>
      <c r="H45" s="32"/>
      <c r="I45" s="32"/>
      <c r="J45" s="32"/>
      <c r="K45" s="32"/>
      <c r="L45" s="32"/>
      <c r="M45" s="32"/>
      <c r="N45" s="32"/>
      <c r="O45" s="32"/>
      <c r="P45" s="32">
        <v>2337</v>
      </c>
      <c r="Q45" s="32"/>
      <c r="R45" s="32"/>
      <c r="S45" s="32">
        <v>130</v>
      </c>
      <c r="T45" s="32"/>
      <c r="U45" s="11"/>
      <c r="V45" s="11"/>
      <c r="W45" s="11"/>
      <c r="X45" s="11"/>
      <c r="Y45" s="11"/>
      <c r="Z45" s="11"/>
      <c r="AA45" s="11"/>
      <c r="AB45" s="11"/>
    </row>
    <row r="46" spans="1:28" ht="18.75" customHeight="1">
      <c r="A46" s="29">
        <v>36</v>
      </c>
      <c r="B46" s="30" t="s">
        <v>65</v>
      </c>
      <c r="C46" s="31">
        <f t="shared" si="5"/>
        <v>953</v>
      </c>
      <c r="D46" s="32"/>
      <c r="E46" s="32"/>
      <c r="F46" s="32"/>
      <c r="G46" s="32"/>
      <c r="H46" s="32"/>
      <c r="I46" s="32"/>
      <c r="J46" s="32"/>
      <c r="K46" s="32"/>
      <c r="L46" s="32"/>
      <c r="M46" s="32"/>
      <c r="N46" s="32"/>
      <c r="O46" s="32"/>
      <c r="P46" s="32">
        <v>953</v>
      </c>
      <c r="Q46" s="32"/>
      <c r="R46" s="32"/>
      <c r="S46" s="32">
        <v>30</v>
      </c>
      <c r="T46" s="32"/>
      <c r="U46" s="11"/>
      <c r="V46" s="11"/>
      <c r="W46" s="11"/>
      <c r="X46" s="11"/>
      <c r="Y46" s="11"/>
      <c r="Z46" s="11"/>
      <c r="AA46" s="11"/>
      <c r="AB46" s="11"/>
    </row>
    <row r="47" spans="1:28" ht="18.75" customHeight="1">
      <c r="A47" s="29">
        <v>37</v>
      </c>
      <c r="B47" s="30" t="s">
        <v>74</v>
      </c>
      <c r="C47" s="31">
        <f t="shared" si="5"/>
        <v>365</v>
      </c>
      <c r="D47" s="32"/>
      <c r="E47" s="32"/>
      <c r="F47" s="32"/>
      <c r="G47" s="32"/>
      <c r="H47" s="32"/>
      <c r="I47" s="32"/>
      <c r="J47" s="32"/>
      <c r="K47" s="32"/>
      <c r="L47" s="32"/>
      <c r="M47" s="32"/>
      <c r="N47" s="32"/>
      <c r="O47" s="32"/>
      <c r="P47" s="32">
        <v>365</v>
      </c>
      <c r="Q47" s="32"/>
      <c r="R47" s="32"/>
      <c r="S47" s="32">
        <v>12</v>
      </c>
      <c r="T47" s="32"/>
      <c r="U47" s="11"/>
      <c r="V47" s="11"/>
      <c r="W47" s="11"/>
      <c r="X47" s="11"/>
      <c r="Y47" s="11"/>
      <c r="Z47" s="11"/>
      <c r="AA47" s="11"/>
      <c r="AB47" s="11"/>
    </row>
    <row r="48" spans="1:28" ht="18.75" customHeight="1">
      <c r="A48" s="29">
        <v>38</v>
      </c>
      <c r="B48" s="30" t="s">
        <v>66</v>
      </c>
      <c r="C48" s="31">
        <f t="shared" si="5"/>
        <v>1559</v>
      </c>
      <c r="D48" s="32"/>
      <c r="E48" s="32"/>
      <c r="F48" s="32"/>
      <c r="G48" s="32"/>
      <c r="H48" s="32"/>
      <c r="I48" s="32"/>
      <c r="J48" s="32"/>
      <c r="K48" s="32"/>
      <c r="L48" s="32"/>
      <c r="M48" s="32"/>
      <c r="N48" s="32"/>
      <c r="O48" s="32"/>
      <c r="P48" s="32">
        <v>1559</v>
      </c>
      <c r="Q48" s="32"/>
      <c r="R48" s="32"/>
      <c r="S48" s="32">
        <v>66</v>
      </c>
      <c r="T48" s="32"/>
      <c r="U48" s="11"/>
      <c r="V48" s="11"/>
      <c r="W48" s="11"/>
      <c r="X48" s="11"/>
      <c r="Y48" s="11"/>
      <c r="Z48" s="11"/>
      <c r="AA48" s="11"/>
      <c r="AB48" s="11"/>
    </row>
    <row r="49" spans="1:28" ht="18.75" customHeight="1">
      <c r="A49" s="29">
        <v>39</v>
      </c>
      <c r="B49" s="30" t="s">
        <v>67</v>
      </c>
      <c r="C49" s="31">
        <f t="shared" si="5"/>
        <v>2422</v>
      </c>
      <c r="D49" s="32"/>
      <c r="E49" s="32">
        <v>1020</v>
      </c>
      <c r="F49" s="32"/>
      <c r="G49" s="32"/>
      <c r="H49" s="32"/>
      <c r="I49" s="32"/>
      <c r="J49" s="32"/>
      <c r="K49" s="32"/>
      <c r="L49" s="32"/>
      <c r="M49" s="32"/>
      <c r="N49" s="32"/>
      <c r="O49" s="32"/>
      <c r="P49" s="32">
        <v>1402</v>
      </c>
      <c r="Q49" s="32"/>
      <c r="R49" s="32"/>
      <c r="S49" s="32">
        <f>85+102</f>
        <v>187</v>
      </c>
      <c r="T49" s="32"/>
      <c r="U49" s="11"/>
      <c r="V49" s="11"/>
      <c r="W49" s="11"/>
      <c r="X49" s="11"/>
      <c r="Y49" s="11"/>
      <c r="Z49" s="11"/>
      <c r="AA49" s="11"/>
      <c r="AB49" s="11"/>
    </row>
    <row r="50" spans="1:28" ht="18.75" customHeight="1">
      <c r="A50" s="29">
        <v>40</v>
      </c>
      <c r="B50" s="30" t="s">
        <v>62</v>
      </c>
      <c r="C50" s="31">
        <f t="shared" si="2"/>
        <v>1418</v>
      </c>
      <c r="D50" s="32"/>
      <c r="E50" s="32"/>
      <c r="F50" s="32"/>
      <c r="G50" s="32"/>
      <c r="H50" s="32"/>
      <c r="I50" s="32"/>
      <c r="J50" s="32"/>
      <c r="K50" s="32"/>
      <c r="L50" s="32"/>
      <c r="M50" s="32"/>
      <c r="N50" s="32"/>
      <c r="O50" s="32"/>
      <c r="P50" s="32">
        <v>1418</v>
      </c>
      <c r="Q50" s="32"/>
      <c r="R50" s="32"/>
      <c r="S50" s="32">
        <v>28</v>
      </c>
      <c r="T50" s="32"/>
      <c r="U50" s="11"/>
      <c r="V50" s="11"/>
      <c r="W50" s="11"/>
      <c r="X50" s="11"/>
      <c r="Y50" s="11"/>
      <c r="Z50" s="11"/>
      <c r="AA50" s="11"/>
      <c r="AB50" s="11"/>
    </row>
    <row r="51" spans="1:28" ht="18.75" customHeight="1">
      <c r="A51" s="29">
        <v>41</v>
      </c>
      <c r="B51" s="30" t="s">
        <v>68</v>
      </c>
      <c r="C51" s="31">
        <f t="shared" si="2"/>
        <v>516</v>
      </c>
      <c r="D51" s="32"/>
      <c r="E51" s="32"/>
      <c r="F51" s="32"/>
      <c r="G51" s="32"/>
      <c r="H51" s="32"/>
      <c r="I51" s="32"/>
      <c r="J51" s="32"/>
      <c r="K51" s="32"/>
      <c r="L51" s="32"/>
      <c r="M51" s="32"/>
      <c r="N51" s="32"/>
      <c r="O51" s="32"/>
      <c r="P51" s="32">
        <v>516</v>
      </c>
      <c r="Q51" s="32"/>
      <c r="R51" s="32"/>
      <c r="S51" s="32">
        <v>7</v>
      </c>
      <c r="T51" s="32"/>
      <c r="U51" s="11"/>
      <c r="V51" s="11"/>
      <c r="W51" s="11"/>
      <c r="X51" s="11"/>
      <c r="Y51" s="11"/>
      <c r="Z51" s="11"/>
      <c r="AA51" s="11"/>
      <c r="AB51" s="11"/>
    </row>
    <row r="52" spans="1:28" ht="18.75" customHeight="1">
      <c r="A52" s="29">
        <v>42</v>
      </c>
      <c r="B52" s="30" t="s">
        <v>69</v>
      </c>
      <c r="C52" s="31">
        <f t="shared" si="2"/>
        <v>277</v>
      </c>
      <c r="D52" s="32"/>
      <c r="E52" s="32"/>
      <c r="F52" s="32"/>
      <c r="G52" s="32"/>
      <c r="H52" s="32"/>
      <c r="I52" s="32"/>
      <c r="J52" s="32"/>
      <c r="K52" s="32"/>
      <c r="L52" s="32"/>
      <c r="M52" s="32"/>
      <c r="N52" s="32"/>
      <c r="O52" s="32"/>
      <c r="P52" s="32">
        <v>277</v>
      </c>
      <c r="Q52" s="32"/>
      <c r="R52" s="32"/>
      <c r="S52" s="32">
        <v>56</v>
      </c>
      <c r="T52" s="32"/>
      <c r="U52" s="11"/>
      <c r="V52" s="11"/>
      <c r="W52" s="11"/>
      <c r="X52" s="11"/>
      <c r="Y52" s="11"/>
      <c r="Z52" s="11"/>
      <c r="AA52" s="11"/>
      <c r="AB52" s="11"/>
    </row>
    <row r="53" spans="1:28" ht="18.75" customHeight="1">
      <c r="A53" s="29">
        <v>43</v>
      </c>
      <c r="B53" s="30" t="s">
        <v>70</v>
      </c>
      <c r="C53" s="31">
        <f t="shared" si="2"/>
        <v>769</v>
      </c>
      <c r="D53" s="32"/>
      <c r="E53" s="32"/>
      <c r="F53" s="32"/>
      <c r="G53" s="32"/>
      <c r="H53" s="32"/>
      <c r="I53" s="32"/>
      <c r="J53" s="32"/>
      <c r="K53" s="32"/>
      <c r="L53" s="32"/>
      <c r="M53" s="32"/>
      <c r="N53" s="32"/>
      <c r="O53" s="32"/>
      <c r="P53" s="32">
        <v>769</v>
      </c>
      <c r="Q53" s="32"/>
      <c r="R53" s="32"/>
      <c r="S53" s="32">
        <v>13</v>
      </c>
      <c r="T53" s="32"/>
      <c r="U53" s="11"/>
      <c r="V53" s="11"/>
      <c r="W53" s="11"/>
      <c r="X53" s="11"/>
      <c r="Y53" s="11"/>
      <c r="Z53" s="11"/>
      <c r="AA53" s="11"/>
      <c r="AB53" s="11"/>
    </row>
    <row r="54" spans="1:28" ht="18.75" customHeight="1">
      <c r="A54" s="29">
        <v>44</v>
      </c>
      <c r="B54" s="30" t="s">
        <v>71</v>
      </c>
      <c r="C54" s="31">
        <f t="shared" si="2"/>
        <v>713</v>
      </c>
      <c r="D54" s="32"/>
      <c r="E54" s="32"/>
      <c r="F54" s="32"/>
      <c r="G54" s="32"/>
      <c r="H54" s="32"/>
      <c r="I54" s="32"/>
      <c r="J54" s="32"/>
      <c r="K54" s="32"/>
      <c r="L54" s="32"/>
      <c r="M54" s="32"/>
      <c r="N54" s="32"/>
      <c r="O54" s="32"/>
      <c r="P54" s="32">
        <v>713</v>
      </c>
      <c r="Q54" s="32"/>
      <c r="R54" s="32"/>
      <c r="S54" s="32">
        <v>8</v>
      </c>
      <c r="T54" s="32"/>
      <c r="U54" s="11"/>
      <c r="V54" s="11"/>
      <c r="W54" s="11"/>
      <c r="X54" s="11"/>
      <c r="Y54" s="11"/>
      <c r="Z54" s="11"/>
      <c r="AA54" s="11"/>
      <c r="AB54" s="11"/>
    </row>
    <row r="55" spans="1:28" ht="18.75" customHeight="1">
      <c r="A55" s="29">
        <v>45</v>
      </c>
      <c r="B55" s="30" t="s">
        <v>72</v>
      </c>
      <c r="C55" s="31">
        <f t="shared" si="2"/>
        <v>285</v>
      </c>
      <c r="D55" s="32"/>
      <c r="E55" s="32"/>
      <c r="F55" s="32"/>
      <c r="G55" s="32"/>
      <c r="H55" s="32"/>
      <c r="I55" s="32"/>
      <c r="J55" s="32"/>
      <c r="K55" s="32"/>
      <c r="L55" s="32"/>
      <c r="M55" s="32"/>
      <c r="N55" s="32"/>
      <c r="O55" s="32"/>
      <c r="P55" s="32">
        <v>285</v>
      </c>
      <c r="Q55" s="32"/>
      <c r="R55" s="32"/>
      <c r="S55" s="32">
        <v>16</v>
      </c>
      <c r="T55" s="32"/>
      <c r="U55" s="11"/>
      <c r="V55" s="11"/>
      <c r="W55" s="11"/>
      <c r="X55" s="11"/>
      <c r="Y55" s="11"/>
      <c r="Z55" s="11"/>
      <c r="AA55" s="11"/>
      <c r="AB55" s="11"/>
    </row>
    <row r="56" spans="1:28" ht="18.75" customHeight="1">
      <c r="A56" s="29">
        <v>46</v>
      </c>
      <c r="B56" s="30" t="s">
        <v>73</v>
      </c>
      <c r="C56" s="31">
        <f t="shared" si="2"/>
        <v>370</v>
      </c>
      <c r="D56" s="32"/>
      <c r="E56" s="32"/>
      <c r="F56" s="32"/>
      <c r="G56" s="32"/>
      <c r="H56" s="32"/>
      <c r="I56" s="32"/>
      <c r="J56" s="32"/>
      <c r="K56" s="32"/>
      <c r="L56" s="32"/>
      <c r="M56" s="32"/>
      <c r="N56" s="32"/>
      <c r="O56" s="32"/>
      <c r="P56" s="32">
        <v>370</v>
      </c>
      <c r="Q56" s="32"/>
      <c r="R56" s="32"/>
      <c r="S56" s="32">
        <v>104</v>
      </c>
      <c r="T56" s="32"/>
      <c r="U56" s="11"/>
      <c r="V56" s="11"/>
      <c r="W56" s="11"/>
      <c r="X56" s="11"/>
      <c r="Y56" s="11"/>
      <c r="Z56" s="11"/>
      <c r="AA56" s="11"/>
      <c r="AB56" s="11"/>
    </row>
    <row r="57" spans="1:28" ht="18.75" customHeight="1">
      <c r="A57" s="29">
        <v>47</v>
      </c>
      <c r="B57" s="30" t="s">
        <v>75</v>
      </c>
      <c r="C57" s="31">
        <f t="shared" si="2"/>
        <v>270</v>
      </c>
      <c r="D57" s="32"/>
      <c r="E57" s="32"/>
      <c r="F57" s="32"/>
      <c r="G57" s="32"/>
      <c r="H57" s="32"/>
      <c r="I57" s="32"/>
      <c r="J57" s="32"/>
      <c r="K57" s="32"/>
      <c r="L57" s="32"/>
      <c r="M57" s="32"/>
      <c r="N57" s="32"/>
      <c r="O57" s="32"/>
      <c r="P57" s="32">
        <v>270</v>
      </c>
      <c r="Q57" s="32"/>
      <c r="R57" s="32"/>
      <c r="S57" s="32">
        <v>6</v>
      </c>
      <c r="T57" s="32"/>
      <c r="U57" s="11"/>
      <c r="V57" s="11"/>
      <c r="W57" s="11"/>
      <c r="X57" s="11"/>
      <c r="Y57" s="11"/>
      <c r="Z57" s="11"/>
      <c r="AA57" s="11"/>
      <c r="AB57" s="11"/>
    </row>
    <row r="58" spans="1:28" ht="18.75" customHeight="1">
      <c r="A58" s="29">
        <v>48</v>
      </c>
      <c r="B58" s="30" t="s">
        <v>76</v>
      </c>
      <c r="C58" s="31">
        <f t="shared" si="2"/>
        <v>184</v>
      </c>
      <c r="D58" s="32"/>
      <c r="E58" s="32"/>
      <c r="F58" s="32"/>
      <c r="G58" s="32"/>
      <c r="H58" s="32"/>
      <c r="I58" s="32"/>
      <c r="J58" s="32"/>
      <c r="K58" s="32"/>
      <c r="L58" s="32"/>
      <c r="M58" s="32"/>
      <c r="N58" s="32"/>
      <c r="O58" s="32"/>
      <c r="P58" s="32">
        <v>184</v>
      </c>
      <c r="Q58" s="32"/>
      <c r="R58" s="32"/>
      <c r="S58" s="32"/>
      <c r="T58" s="32"/>
      <c r="U58" s="11"/>
      <c r="V58" s="11"/>
      <c r="W58" s="11"/>
      <c r="X58" s="11"/>
      <c r="Y58" s="11"/>
      <c r="Z58" s="11"/>
      <c r="AA58" s="11"/>
      <c r="AB58" s="11"/>
    </row>
    <row r="59" spans="1:28" ht="18.75" customHeight="1">
      <c r="A59" s="29">
        <v>49</v>
      </c>
      <c r="B59" s="33" t="s">
        <v>77</v>
      </c>
      <c r="C59" s="31">
        <f t="shared" si="2"/>
        <v>161</v>
      </c>
      <c r="D59" s="32"/>
      <c r="E59" s="32"/>
      <c r="F59" s="32"/>
      <c r="G59" s="32"/>
      <c r="H59" s="32"/>
      <c r="I59" s="32"/>
      <c r="J59" s="32"/>
      <c r="K59" s="32"/>
      <c r="L59" s="32"/>
      <c r="M59" s="32"/>
      <c r="N59" s="32"/>
      <c r="O59" s="32"/>
      <c r="P59" s="32">
        <v>161</v>
      </c>
      <c r="Q59" s="32"/>
      <c r="R59" s="32"/>
      <c r="S59" s="32"/>
      <c r="T59" s="32"/>
      <c r="U59" s="3"/>
      <c r="V59" s="3"/>
      <c r="W59" s="3"/>
      <c r="X59" s="3"/>
      <c r="Y59" s="3"/>
      <c r="Z59" s="3"/>
      <c r="AA59" s="3"/>
      <c r="AB59" s="3"/>
    </row>
    <row r="60" spans="1:28" ht="37.5" customHeight="1">
      <c r="A60" s="26" t="s">
        <v>78</v>
      </c>
      <c r="B60" s="27" t="s">
        <v>79</v>
      </c>
      <c r="C60" s="28">
        <f t="shared" si="2"/>
        <v>500399</v>
      </c>
      <c r="D60" s="34">
        <f t="shared" ref="D60:T60" si="6">SUM(D61:D92)</f>
        <v>105039</v>
      </c>
      <c r="E60" s="34">
        <f t="shared" si="6"/>
        <v>0</v>
      </c>
      <c r="F60" s="34">
        <f t="shared" si="6"/>
        <v>12557</v>
      </c>
      <c r="G60" s="34">
        <f t="shared" si="6"/>
        <v>9500</v>
      </c>
      <c r="H60" s="34">
        <f t="shared" si="6"/>
        <v>227993</v>
      </c>
      <c r="I60" s="34">
        <f t="shared" si="6"/>
        <v>0</v>
      </c>
      <c r="J60" s="34">
        <f t="shared" si="6"/>
        <v>0</v>
      </c>
      <c r="K60" s="34">
        <f t="shared" si="6"/>
        <v>0</v>
      </c>
      <c r="L60" s="34">
        <f t="shared" si="6"/>
        <v>0</v>
      </c>
      <c r="M60" s="34">
        <f t="shared" si="6"/>
        <v>93631</v>
      </c>
      <c r="N60" s="34">
        <f t="shared" si="6"/>
        <v>0</v>
      </c>
      <c r="O60" s="34">
        <f t="shared" si="6"/>
        <v>56548</v>
      </c>
      <c r="P60" s="34">
        <f t="shared" si="6"/>
        <v>9816</v>
      </c>
      <c r="Q60" s="34">
        <f t="shared" si="6"/>
        <v>12100</v>
      </c>
      <c r="R60" s="34">
        <f t="shared" si="6"/>
        <v>29763</v>
      </c>
      <c r="S60" s="34">
        <f t="shared" si="6"/>
        <v>4667</v>
      </c>
      <c r="T60" s="34">
        <f t="shared" si="6"/>
        <v>0</v>
      </c>
      <c r="U60" s="3"/>
      <c r="V60" s="3"/>
      <c r="W60" s="3"/>
      <c r="X60" s="3"/>
      <c r="Y60" s="3"/>
      <c r="Z60" s="3"/>
      <c r="AA60" s="3"/>
      <c r="AB60" s="3"/>
    </row>
    <row r="61" spans="1:28" ht="33">
      <c r="A61" s="29">
        <v>1</v>
      </c>
      <c r="B61" s="30" t="s">
        <v>118</v>
      </c>
      <c r="C61" s="31">
        <f t="shared" si="2"/>
        <v>97795</v>
      </c>
      <c r="D61" s="32">
        <v>84000</v>
      </c>
      <c r="E61" s="32"/>
      <c r="F61" s="32"/>
      <c r="G61" s="32"/>
      <c r="H61" s="32">
        <v>4115</v>
      </c>
      <c r="I61" s="32"/>
      <c r="J61" s="32"/>
      <c r="K61" s="32"/>
      <c r="L61" s="32"/>
      <c r="M61" s="32">
        <v>1864</v>
      </c>
      <c r="N61" s="32"/>
      <c r="O61" s="32">
        <v>1864</v>
      </c>
      <c r="P61" s="32">
        <v>7816</v>
      </c>
      <c r="Q61" s="32"/>
      <c r="R61" s="32"/>
      <c r="S61" s="32"/>
      <c r="T61" s="32"/>
      <c r="U61" s="3"/>
      <c r="V61" s="3"/>
      <c r="W61" s="3"/>
      <c r="X61" s="3"/>
      <c r="Y61" s="3"/>
      <c r="Z61" s="3"/>
      <c r="AA61" s="3"/>
      <c r="AB61" s="3"/>
    </row>
    <row r="62" spans="1:28" ht="33">
      <c r="A62" s="29">
        <v>2</v>
      </c>
      <c r="B62" s="30" t="s">
        <v>89</v>
      </c>
      <c r="C62" s="31">
        <f>SUM(D62:M62)+P62+Q62+R62</f>
        <v>2000</v>
      </c>
      <c r="D62" s="32"/>
      <c r="E62" s="32"/>
      <c r="F62" s="32"/>
      <c r="G62" s="32"/>
      <c r="H62" s="32"/>
      <c r="I62" s="32"/>
      <c r="J62" s="32"/>
      <c r="K62" s="32"/>
      <c r="L62" s="32"/>
      <c r="M62" s="32"/>
      <c r="N62" s="32"/>
      <c r="O62" s="32"/>
      <c r="P62" s="32">
        <v>2000</v>
      </c>
      <c r="Q62" s="32"/>
      <c r="R62" s="32"/>
      <c r="S62" s="32"/>
      <c r="T62" s="32"/>
      <c r="U62" s="3"/>
      <c r="V62" s="3"/>
      <c r="W62" s="3"/>
      <c r="X62" s="3"/>
      <c r="Y62" s="3"/>
      <c r="Z62" s="3"/>
      <c r="AA62" s="3"/>
      <c r="AB62" s="3"/>
    </row>
    <row r="63" spans="1:28" ht="33">
      <c r="A63" s="29">
        <v>3</v>
      </c>
      <c r="B63" s="30" t="s">
        <v>103</v>
      </c>
      <c r="C63" s="31">
        <f t="shared" si="2"/>
        <v>5000</v>
      </c>
      <c r="D63" s="32">
        <v>5000</v>
      </c>
      <c r="E63" s="32"/>
      <c r="F63" s="32"/>
      <c r="G63" s="32"/>
      <c r="H63" s="32"/>
      <c r="I63" s="32"/>
      <c r="J63" s="32"/>
      <c r="K63" s="32"/>
      <c r="L63" s="32"/>
      <c r="M63" s="32"/>
      <c r="N63" s="32"/>
      <c r="O63" s="32"/>
      <c r="P63" s="32"/>
      <c r="Q63" s="32"/>
      <c r="R63" s="32"/>
      <c r="S63" s="32">
        <v>500</v>
      </c>
      <c r="T63" s="32"/>
      <c r="U63" s="3"/>
      <c r="V63" s="3"/>
      <c r="W63" s="3"/>
      <c r="X63" s="3"/>
      <c r="Y63" s="3"/>
      <c r="Z63" s="3"/>
      <c r="AA63" s="3"/>
      <c r="AB63" s="3"/>
    </row>
    <row r="64" spans="1:28" ht="16.5">
      <c r="A64" s="29">
        <v>4</v>
      </c>
      <c r="B64" s="30" t="s">
        <v>104</v>
      </c>
      <c r="C64" s="31">
        <f t="shared" si="2"/>
        <v>583</v>
      </c>
      <c r="D64" s="32">
        <v>583</v>
      </c>
      <c r="E64" s="32"/>
      <c r="F64" s="32"/>
      <c r="G64" s="32"/>
      <c r="H64" s="32"/>
      <c r="I64" s="32"/>
      <c r="J64" s="32"/>
      <c r="K64" s="32"/>
      <c r="L64" s="32"/>
      <c r="M64" s="32"/>
      <c r="N64" s="32"/>
      <c r="O64" s="32"/>
      <c r="P64" s="32"/>
      <c r="Q64" s="32"/>
      <c r="R64" s="32"/>
      <c r="S64" s="32"/>
      <c r="T64" s="32"/>
      <c r="U64" s="3"/>
      <c r="V64" s="3"/>
      <c r="W64" s="3"/>
      <c r="X64" s="3"/>
      <c r="Y64" s="3"/>
      <c r="Z64" s="3"/>
      <c r="AA64" s="3"/>
      <c r="AB64" s="3"/>
    </row>
    <row r="65" spans="1:28" ht="39.75" customHeight="1">
      <c r="A65" s="29">
        <v>5</v>
      </c>
      <c r="B65" s="30" t="s">
        <v>105</v>
      </c>
      <c r="C65" s="31">
        <f t="shared" si="2"/>
        <v>5556</v>
      </c>
      <c r="D65" s="32">
        <v>5556</v>
      </c>
      <c r="E65" s="32"/>
      <c r="F65" s="32"/>
      <c r="G65" s="32"/>
      <c r="H65" s="32"/>
      <c r="I65" s="32"/>
      <c r="J65" s="32"/>
      <c r="K65" s="32"/>
      <c r="L65" s="32"/>
      <c r="M65" s="32"/>
      <c r="N65" s="32"/>
      <c r="O65" s="32"/>
      <c r="P65" s="32"/>
      <c r="Q65" s="32"/>
      <c r="R65" s="32"/>
      <c r="S65" s="32">
        <v>556</v>
      </c>
      <c r="T65" s="32"/>
      <c r="U65" s="3"/>
      <c r="V65" s="3"/>
      <c r="W65" s="3"/>
      <c r="X65" s="3"/>
      <c r="Y65" s="3"/>
      <c r="Z65" s="3"/>
      <c r="AA65" s="3"/>
      <c r="AB65" s="3"/>
    </row>
    <row r="66" spans="1:28" ht="39.75" customHeight="1">
      <c r="A66" s="29">
        <v>6</v>
      </c>
      <c r="B66" s="35" t="s">
        <v>80</v>
      </c>
      <c r="C66" s="31">
        <f t="shared" si="2"/>
        <v>6500</v>
      </c>
      <c r="D66" s="32">
        <v>6500</v>
      </c>
      <c r="E66" s="32"/>
      <c r="F66" s="32"/>
      <c r="G66" s="32"/>
      <c r="H66" s="32"/>
      <c r="I66" s="32"/>
      <c r="J66" s="32"/>
      <c r="K66" s="32"/>
      <c r="L66" s="32"/>
      <c r="M66" s="32"/>
      <c r="N66" s="32"/>
      <c r="O66" s="32"/>
      <c r="P66" s="32"/>
      <c r="Q66" s="32"/>
      <c r="R66" s="32"/>
      <c r="S66" s="32">
        <v>650</v>
      </c>
      <c r="T66" s="32"/>
      <c r="U66" s="3"/>
      <c r="V66" s="3"/>
      <c r="W66" s="3"/>
      <c r="X66" s="3"/>
      <c r="Y66" s="3"/>
      <c r="Z66" s="3"/>
      <c r="AA66" s="3"/>
      <c r="AB66" s="3"/>
    </row>
    <row r="67" spans="1:28" ht="16.5">
      <c r="A67" s="29">
        <v>7</v>
      </c>
      <c r="B67" s="30" t="s">
        <v>81</v>
      </c>
      <c r="C67" s="31">
        <f t="shared" si="2"/>
        <v>700</v>
      </c>
      <c r="D67" s="32">
        <v>700</v>
      </c>
      <c r="E67" s="32"/>
      <c r="F67" s="32"/>
      <c r="G67" s="32"/>
      <c r="H67" s="32"/>
      <c r="I67" s="32"/>
      <c r="J67" s="32"/>
      <c r="K67" s="32"/>
      <c r="L67" s="32"/>
      <c r="M67" s="32"/>
      <c r="N67" s="32"/>
      <c r="O67" s="32"/>
      <c r="P67" s="32"/>
      <c r="Q67" s="32"/>
      <c r="R67" s="32"/>
      <c r="S67" s="32">
        <v>70</v>
      </c>
      <c r="T67" s="32"/>
      <c r="U67" s="3"/>
      <c r="V67" s="3"/>
      <c r="W67" s="3"/>
      <c r="X67" s="3"/>
      <c r="Y67" s="3"/>
      <c r="Z67" s="3"/>
      <c r="AA67" s="3"/>
      <c r="AB67" s="3"/>
    </row>
    <row r="68" spans="1:28" ht="18" customHeight="1">
      <c r="A68" s="29">
        <v>8</v>
      </c>
      <c r="B68" s="30" t="s">
        <v>82</v>
      </c>
      <c r="C68" s="31">
        <f t="shared" si="2"/>
        <v>700</v>
      </c>
      <c r="D68" s="32">
        <v>700</v>
      </c>
      <c r="E68" s="32"/>
      <c r="F68" s="32"/>
      <c r="G68" s="32"/>
      <c r="H68" s="32"/>
      <c r="I68" s="32"/>
      <c r="J68" s="32"/>
      <c r="K68" s="32"/>
      <c r="L68" s="32"/>
      <c r="M68" s="32"/>
      <c r="N68" s="32"/>
      <c r="O68" s="32"/>
      <c r="P68" s="32"/>
      <c r="Q68" s="32"/>
      <c r="R68" s="32"/>
      <c r="S68" s="32"/>
      <c r="T68" s="32"/>
      <c r="U68" s="3"/>
      <c r="V68" s="3"/>
      <c r="W68" s="3"/>
      <c r="X68" s="3"/>
      <c r="Y68" s="3"/>
      <c r="Z68" s="3"/>
      <c r="AA68" s="3"/>
      <c r="AB68" s="3"/>
    </row>
    <row r="69" spans="1:28" ht="18.75" customHeight="1">
      <c r="A69" s="29">
        <v>9</v>
      </c>
      <c r="B69" s="30" t="s">
        <v>83</v>
      </c>
      <c r="C69" s="31">
        <f t="shared" si="2"/>
        <v>2000</v>
      </c>
      <c r="D69" s="32">
        <v>2000</v>
      </c>
      <c r="E69" s="32"/>
      <c r="F69" s="32"/>
      <c r="G69" s="32"/>
      <c r="H69" s="32"/>
      <c r="I69" s="32"/>
      <c r="J69" s="32"/>
      <c r="K69" s="32"/>
      <c r="L69" s="32"/>
      <c r="M69" s="32"/>
      <c r="N69" s="32"/>
      <c r="O69" s="32"/>
      <c r="P69" s="32"/>
      <c r="Q69" s="32"/>
      <c r="R69" s="32"/>
      <c r="S69" s="32"/>
      <c r="T69" s="32"/>
      <c r="U69" s="3"/>
      <c r="V69" s="3"/>
      <c r="W69" s="3"/>
      <c r="X69" s="3"/>
      <c r="Y69" s="3"/>
      <c r="Z69" s="3"/>
      <c r="AA69" s="3"/>
      <c r="AB69" s="3"/>
    </row>
    <row r="70" spans="1:28" ht="18.75" customHeight="1">
      <c r="A70" s="29">
        <v>10</v>
      </c>
      <c r="B70" s="30" t="s">
        <v>84</v>
      </c>
      <c r="C70" s="31">
        <f t="shared" si="2"/>
        <v>190</v>
      </c>
      <c r="D70" s="32"/>
      <c r="E70" s="32"/>
      <c r="F70" s="32"/>
      <c r="G70" s="32"/>
      <c r="H70" s="32">
        <v>190</v>
      </c>
      <c r="I70" s="32"/>
      <c r="J70" s="32"/>
      <c r="K70" s="32"/>
      <c r="L70" s="32"/>
      <c r="M70" s="32"/>
      <c r="N70" s="32"/>
      <c r="O70" s="32"/>
      <c r="P70" s="32"/>
      <c r="Q70" s="32"/>
      <c r="R70" s="32"/>
      <c r="S70" s="32"/>
      <c r="T70" s="32"/>
      <c r="U70" s="3"/>
      <c r="V70" s="3"/>
      <c r="W70" s="3"/>
      <c r="X70" s="3"/>
      <c r="Y70" s="3"/>
      <c r="Z70" s="3"/>
      <c r="AA70" s="3"/>
      <c r="AB70" s="3"/>
    </row>
    <row r="71" spans="1:28" ht="16.5">
      <c r="A71" s="29">
        <v>11</v>
      </c>
      <c r="B71" s="30" t="s">
        <v>85</v>
      </c>
      <c r="C71" s="31">
        <f t="shared" si="2"/>
        <v>76518</v>
      </c>
      <c r="D71" s="32"/>
      <c r="E71" s="32"/>
      <c r="F71" s="32"/>
      <c r="G71" s="32"/>
      <c r="H71" s="32">
        <v>76518</v>
      </c>
      <c r="I71" s="32"/>
      <c r="J71" s="32"/>
      <c r="K71" s="32"/>
      <c r="L71" s="32"/>
      <c r="M71" s="32"/>
      <c r="N71" s="32"/>
      <c r="O71" s="32"/>
      <c r="P71" s="32"/>
      <c r="Q71" s="32"/>
      <c r="R71" s="32"/>
      <c r="S71" s="32"/>
      <c r="T71" s="32"/>
      <c r="U71" s="3"/>
      <c r="V71" s="3"/>
      <c r="W71" s="3"/>
      <c r="X71" s="3"/>
      <c r="Y71" s="3"/>
      <c r="Z71" s="3"/>
      <c r="AA71" s="3"/>
      <c r="AB71" s="3"/>
    </row>
    <row r="72" spans="1:28" ht="66">
      <c r="A72" s="29">
        <v>12</v>
      </c>
      <c r="B72" s="30" t="s">
        <v>86</v>
      </c>
      <c r="C72" s="31">
        <f t="shared" si="2"/>
        <v>109620</v>
      </c>
      <c r="D72" s="32"/>
      <c r="E72" s="32"/>
      <c r="F72" s="32"/>
      <c r="G72" s="32"/>
      <c r="H72" s="32">
        <v>109620</v>
      </c>
      <c r="I72" s="32"/>
      <c r="J72" s="32"/>
      <c r="K72" s="32"/>
      <c r="L72" s="32"/>
      <c r="M72" s="32"/>
      <c r="N72" s="32"/>
      <c r="O72" s="32"/>
      <c r="P72" s="32"/>
      <c r="Q72" s="32"/>
      <c r="R72" s="32"/>
      <c r="S72" s="32"/>
      <c r="T72" s="32"/>
      <c r="U72" s="3"/>
      <c r="V72" s="3"/>
      <c r="W72" s="3"/>
      <c r="X72" s="3"/>
      <c r="Y72" s="3"/>
      <c r="Z72" s="3"/>
      <c r="AA72" s="3"/>
      <c r="AB72" s="3"/>
    </row>
    <row r="73" spans="1:28" ht="16.5">
      <c r="A73" s="29">
        <v>13</v>
      </c>
      <c r="B73" s="30" t="s">
        <v>119</v>
      </c>
      <c r="C73" s="31">
        <f t="shared" si="2"/>
        <v>34668</v>
      </c>
      <c r="D73" s="32"/>
      <c r="E73" s="32"/>
      <c r="F73" s="32"/>
      <c r="G73" s="32"/>
      <c r="H73" s="32">
        <v>34668</v>
      </c>
      <c r="I73" s="32"/>
      <c r="J73" s="32"/>
      <c r="K73" s="32"/>
      <c r="L73" s="32"/>
      <c r="M73" s="32"/>
      <c r="N73" s="32"/>
      <c r="O73" s="32"/>
      <c r="P73" s="32"/>
      <c r="Q73" s="32"/>
      <c r="R73" s="32"/>
      <c r="S73" s="32"/>
      <c r="T73" s="32"/>
      <c r="U73" s="3"/>
      <c r="V73" s="3"/>
      <c r="W73" s="3"/>
      <c r="X73" s="3"/>
      <c r="Y73" s="3"/>
      <c r="Z73" s="3"/>
      <c r="AA73" s="3"/>
      <c r="AB73" s="3"/>
    </row>
    <row r="74" spans="1:28" ht="49.5">
      <c r="A74" s="29">
        <v>14</v>
      </c>
      <c r="B74" s="30" t="s">
        <v>87</v>
      </c>
      <c r="C74" s="31">
        <f t="shared" si="2"/>
        <v>2882</v>
      </c>
      <c r="D74" s="32"/>
      <c r="E74" s="32"/>
      <c r="F74" s="32"/>
      <c r="G74" s="32"/>
      <c r="H74" s="32">
        <v>2882</v>
      </c>
      <c r="I74" s="32"/>
      <c r="J74" s="32"/>
      <c r="K74" s="32"/>
      <c r="L74" s="32"/>
      <c r="M74" s="32"/>
      <c r="N74" s="32"/>
      <c r="O74" s="32"/>
      <c r="P74" s="32"/>
      <c r="Q74" s="32"/>
      <c r="R74" s="32"/>
      <c r="S74" s="32"/>
      <c r="T74" s="32"/>
      <c r="U74" s="3"/>
      <c r="V74" s="3"/>
      <c r="W74" s="3"/>
      <c r="X74" s="3"/>
      <c r="Y74" s="3"/>
      <c r="Z74" s="3"/>
      <c r="AA74" s="3"/>
      <c r="AB74" s="3"/>
    </row>
    <row r="75" spans="1:28" ht="16.5">
      <c r="A75" s="29">
        <v>15</v>
      </c>
      <c r="B75" s="30" t="s">
        <v>107</v>
      </c>
      <c r="C75" s="31">
        <f t="shared" si="2"/>
        <v>2200</v>
      </c>
      <c r="D75" s="32"/>
      <c r="E75" s="32"/>
      <c r="F75" s="32"/>
      <c r="G75" s="32"/>
      <c r="H75" s="32"/>
      <c r="I75" s="32"/>
      <c r="J75" s="32"/>
      <c r="K75" s="32"/>
      <c r="L75" s="32"/>
      <c r="M75" s="32"/>
      <c r="N75" s="32"/>
      <c r="O75" s="32"/>
      <c r="P75" s="32"/>
      <c r="Q75" s="32">
        <v>2200</v>
      </c>
      <c r="R75" s="32"/>
      <c r="S75" s="32"/>
      <c r="T75" s="32"/>
      <c r="U75" s="3"/>
      <c r="V75" s="3"/>
      <c r="W75" s="3"/>
      <c r="X75" s="3"/>
      <c r="Y75" s="3"/>
      <c r="Z75" s="3"/>
      <c r="AA75" s="3"/>
      <c r="AB75" s="3"/>
    </row>
    <row r="76" spans="1:28" ht="16.5">
      <c r="A76" s="29">
        <v>16</v>
      </c>
      <c r="B76" s="30" t="s">
        <v>108</v>
      </c>
      <c r="C76" s="31">
        <f t="shared" si="2"/>
        <v>2400</v>
      </c>
      <c r="D76" s="32"/>
      <c r="E76" s="32"/>
      <c r="F76" s="32"/>
      <c r="G76" s="32"/>
      <c r="H76" s="32"/>
      <c r="I76" s="32"/>
      <c r="J76" s="32"/>
      <c r="K76" s="32"/>
      <c r="L76" s="32"/>
      <c r="M76" s="32"/>
      <c r="N76" s="32"/>
      <c r="O76" s="32"/>
      <c r="P76" s="32"/>
      <c r="Q76" s="32">
        <v>2400</v>
      </c>
      <c r="R76" s="32"/>
      <c r="S76" s="32"/>
      <c r="T76" s="32"/>
      <c r="U76" s="3"/>
      <c r="V76" s="3"/>
      <c r="W76" s="3"/>
      <c r="X76" s="3"/>
      <c r="Y76" s="3"/>
      <c r="Z76" s="3"/>
      <c r="AA76" s="3"/>
      <c r="AB76" s="3"/>
    </row>
    <row r="77" spans="1:28" ht="33">
      <c r="A77" s="29">
        <v>17</v>
      </c>
      <c r="B77" s="30" t="s">
        <v>88</v>
      </c>
      <c r="C77" s="31">
        <f t="shared" si="2"/>
        <v>7500</v>
      </c>
      <c r="D77" s="32"/>
      <c r="E77" s="32"/>
      <c r="F77" s="32"/>
      <c r="G77" s="32"/>
      <c r="H77" s="32"/>
      <c r="I77" s="32"/>
      <c r="J77" s="32"/>
      <c r="K77" s="32"/>
      <c r="L77" s="32"/>
      <c r="M77" s="32"/>
      <c r="N77" s="32"/>
      <c r="O77" s="32"/>
      <c r="P77" s="32"/>
      <c r="Q77" s="32">
        <v>7500</v>
      </c>
      <c r="R77" s="32"/>
      <c r="S77" s="32"/>
      <c r="T77" s="32"/>
      <c r="U77" s="3"/>
      <c r="V77" s="3"/>
      <c r="W77" s="3"/>
      <c r="X77" s="3"/>
      <c r="Y77" s="3"/>
      <c r="Z77" s="3"/>
      <c r="AA77" s="3"/>
      <c r="AB77" s="3"/>
    </row>
    <row r="78" spans="1:28" ht="18.75" customHeight="1">
      <c r="A78" s="29">
        <v>18</v>
      </c>
      <c r="B78" s="30" t="s">
        <v>90</v>
      </c>
      <c r="C78" s="31">
        <f t="shared" si="2"/>
        <v>6250</v>
      </c>
      <c r="D78" s="32"/>
      <c r="E78" s="32"/>
      <c r="F78" s="32"/>
      <c r="G78" s="32"/>
      <c r="H78" s="32"/>
      <c r="I78" s="32"/>
      <c r="J78" s="32"/>
      <c r="K78" s="32"/>
      <c r="L78" s="32"/>
      <c r="M78" s="32">
        <v>6250</v>
      </c>
      <c r="N78" s="32"/>
      <c r="O78" s="32"/>
      <c r="P78" s="32"/>
      <c r="Q78" s="32"/>
      <c r="R78" s="32"/>
      <c r="S78" s="32"/>
      <c r="T78" s="32"/>
      <c r="U78" s="3"/>
      <c r="V78" s="3"/>
      <c r="W78" s="3"/>
      <c r="X78" s="3"/>
      <c r="Y78" s="3"/>
      <c r="Z78" s="3"/>
      <c r="AA78" s="3"/>
      <c r="AB78" s="3"/>
    </row>
    <row r="79" spans="1:28" ht="18.75" customHeight="1">
      <c r="A79" s="29">
        <v>19</v>
      </c>
      <c r="B79" s="30" t="s">
        <v>91</v>
      </c>
      <c r="C79" s="31">
        <f t="shared" si="2"/>
        <v>2000</v>
      </c>
      <c r="D79" s="32"/>
      <c r="E79" s="32"/>
      <c r="F79" s="32"/>
      <c r="G79" s="32"/>
      <c r="H79" s="32"/>
      <c r="I79" s="32"/>
      <c r="J79" s="32"/>
      <c r="K79" s="32"/>
      <c r="L79" s="32"/>
      <c r="M79" s="32">
        <v>2000</v>
      </c>
      <c r="N79" s="32"/>
      <c r="O79" s="32"/>
      <c r="P79" s="32"/>
      <c r="Q79" s="32"/>
      <c r="R79" s="32"/>
      <c r="S79" s="32"/>
      <c r="T79" s="32"/>
      <c r="U79" s="3"/>
      <c r="V79" s="3"/>
      <c r="W79" s="3"/>
      <c r="X79" s="3"/>
      <c r="Y79" s="3"/>
      <c r="Z79" s="3"/>
      <c r="AA79" s="3"/>
      <c r="AB79" s="3"/>
    </row>
    <row r="80" spans="1:28" ht="16.5">
      <c r="A80" s="29">
        <v>20</v>
      </c>
      <c r="B80" s="30" t="s">
        <v>112</v>
      </c>
      <c r="C80" s="31">
        <f t="shared" si="2"/>
        <v>3333</v>
      </c>
      <c r="D80" s="32"/>
      <c r="E80" s="32"/>
      <c r="F80" s="32"/>
      <c r="G80" s="32"/>
      <c r="H80" s="32"/>
      <c r="I80" s="32"/>
      <c r="J80" s="32"/>
      <c r="K80" s="32"/>
      <c r="L80" s="32"/>
      <c r="M80" s="32">
        <v>3333</v>
      </c>
      <c r="N80" s="32"/>
      <c r="O80" s="32"/>
      <c r="P80" s="32"/>
      <c r="Q80" s="32"/>
      <c r="R80" s="32"/>
      <c r="S80" s="32">
        <v>333</v>
      </c>
      <c r="T80" s="32"/>
      <c r="U80" s="3"/>
      <c r="V80" s="3"/>
      <c r="W80" s="3"/>
      <c r="X80" s="3"/>
      <c r="Y80" s="3"/>
      <c r="Z80" s="3"/>
      <c r="AA80" s="3"/>
      <c r="AB80" s="3"/>
    </row>
    <row r="81" spans="1:28" ht="18.75" customHeight="1">
      <c r="A81" s="29">
        <v>21</v>
      </c>
      <c r="B81" s="30" t="s">
        <v>92</v>
      </c>
      <c r="C81" s="31">
        <f t="shared" si="2"/>
        <v>54684</v>
      </c>
      <c r="D81" s="32"/>
      <c r="E81" s="32"/>
      <c r="F81" s="32"/>
      <c r="G81" s="32"/>
      <c r="H81" s="32"/>
      <c r="I81" s="32"/>
      <c r="J81" s="32"/>
      <c r="K81" s="32"/>
      <c r="L81" s="32"/>
      <c r="M81" s="32">
        <v>54684</v>
      </c>
      <c r="N81" s="32"/>
      <c r="O81" s="32">
        <f>M81</f>
        <v>54684</v>
      </c>
      <c r="P81" s="32"/>
      <c r="Q81" s="32"/>
      <c r="R81" s="32"/>
      <c r="S81" s="32"/>
      <c r="T81" s="32"/>
      <c r="U81" s="3"/>
      <c r="V81" s="3"/>
      <c r="W81" s="3"/>
      <c r="X81" s="3"/>
      <c r="Y81" s="3"/>
      <c r="Z81" s="3"/>
      <c r="AA81" s="3"/>
      <c r="AB81" s="3"/>
    </row>
    <row r="82" spans="1:28" ht="18.75" customHeight="1">
      <c r="A82" s="29">
        <v>22</v>
      </c>
      <c r="B82" s="30" t="s">
        <v>113</v>
      </c>
      <c r="C82" s="31">
        <f t="shared" si="2"/>
        <v>10000</v>
      </c>
      <c r="D82" s="32"/>
      <c r="E82" s="32"/>
      <c r="F82" s="32"/>
      <c r="G82" s="32"/>
      <c r="H82" s="32"/>
      <c r="I82" s="32"/>
      <c r="J82" s="32"/>
      <c r="K82" s="32"/>
      <c r="L82" s="32"/>
      <c r="M82" s="32">
        <v>10000</v>
      </c>
      <c r="N82" s="32"/>
      <c r="O82" s="32"/>
      <c r="P82" s="32"/>
      <c r="Q82" s="32"/>
      <c r="R82" s="32"/>
      <c r="S82" s="32"/>
      <c r="T82" s="32"/>
      <c r="U82" s="3"/>
      <c r="V82" s="3"/>
      <c r="W82" s="3"/>
      <c r="X82" s="3"/>
      <c r="Y82" s="3"/>
      <c r="Z82" s="3"/>
      <c r="AA82" s="3"/>
      <c r="AB82" s="3"/>
    </row>
    <row r="83" spans="1:28" ht="33">
      <c r="A83" s="29">
        <v>23</v>
      </c>
      <c r="B83" s="30" t="s">
        <v>93</v>
      </c>
      <c r="C83" s="31">
        <f t="shared" si="2"/>
        <v>500</v>
      </c>
      <c r="D83" s="32"/>
      <c r="E83" s="32"/>
      <c r="F83" s="32"/>
      <c r="G83" s="32"/>
      <c r="H83" s="32"/>
      <c r="I83" s="32"/>
      <c r="J83" s="32"/>
      <c r="K83" s="32"/>
      <c r="L83" s="32"/>
      <c r="M83" s="32">
        <v>500</v>
      </c>
      <c r="N83" s="32"/>
      <c r="O83" s="32"/>
      <c r="P83" s="32"/>
      <c r="Q83" s="32"/>
      <c r="R83" s="32"/>
      <c r="S83" s="32"/>
      <c r="T83" s="32"/>
      <c r="U83" s="3"/>
      <c r="V83" s="3"/>
      <c r="W83" s="3"/>
      <c r="X83" s="3"/>
      <c r="Y83" s="3"/>
      <c r="Z83" s="3"/>
      <c r="AA83" s="3"/>
      <c r="AB83" s="3"/>
    </row>
    <row r="84" spans="1:28" ht="33">
      <c r="A84" s="29">
        <v>24</v>
      </c>
      <c r="B84" s="30" t="s">
        <v>94</v>
      </c>
      <c r="C84" s="31">
        <f t="shared" si="2"/>
        <v>15000</v>
      </c>
      <c r="D84" s="32"/>
      <c r="E84" s="32"/>
      <c r="F84" s="32"/>
      <c r="G84" s="32"/>
      <c r="H84" s="32"/>
      <c r="I84" s="32"/>
      <c r="J84" s="32"/>
      <c r="K84" s="32"/>
      <c r="L84" s="32"/>
      <c r="M84" s="32">
        <v>15000</v>
      </c>
      <c r="N84" s="32"/>
      <c r="O84" s="32"/>
      <c r="P84" s="32"/>
      <c r="Q84" s="32"/>
      <c r="R84" s="32"/>
      <c r="S84" s="32">
        <v>1500</v>
      </c>
      <c r="T84" s="32"/>
      <c r="U84" s="3"/>
      <c r="V84" s="3"/>
      <c r="W84" s="3"/>
      <c r="X84" s="3"/>
      <c r="Y84" s="3"/>
      <c r="Z84" s="3"/>
      <c r="AA84" s="3"/>
      <c r="AB84" s="3"/>
    </row>
    <row r="85" spans="1:28" ht="18.75" customHeight="1">
      <c r="A85" s="29">
        <v>25</v>
      </c>
      <c r="B85" s="30" t="s">
        <v>95</v>
      </c>
      <c r="C85" s="31">
        <f t="shared" si="2"/>
        <v>2500</v>
      </c>
      <c r="D85" s="32"/>
      <c r="E85" s="32"/>
      <c r="F85" s="32"/>
      <c r="G85" s="32"/>
      <c r="H85" s="32"/>
      <c r="I85" s="32"/>
      <c r="J85" s="32"/>
      <c r="K85" s="32"/>
      <c r="L85" s="32"/>
      <c r="M85" s="32"/>
      <c r="N85" s="32"/>
      <c r="O85" s="32"/>
      <c r="P85" s="32"/>
      <c r="Q85" s="32"/>
      <c r="R85" s="32">
        <v>2500</v>
      </c>
      <c r="S85" s="32"/>
      <c r="T85" s="32"/>
      <c r="U85" s="3"/>
      <c r="V85" s="3"/>
      <c r="W85" s="3"/>
      <c r="X85" s="3"/>
      <c r="Y85" s="3"/>
      <c r="Z85" s="3"/>
      <c r="AA85" s="3"/>
      <c r="AB85" s="3"/>
    </row>
    <row r="86" spans="1:28" ht="66">
      <c r="A86" s="29">
        <v>26</v>
      </c>
      <c r="B86" s="30" t="s">
        <v>96</v>
      </c>
      <c r="C86" s="31">
        <f t="shared" si="2"/>
        <v>15000</v>
      </c>
      <c r="D86" s="32"/>
      <c r="E86" s="32"/>
      <c r="F86" s="32"/>
      <c r="G86" s="32"/>
      <c r="H86" s="32"/>
      <c r="I86" s="32"/>
      <c r="J86" s="32"/>
      <c r="K86" s="32"/>
      <c r="L86" s="32"/>
      <c r="M86" s="32"/>
      <c r="N86" s="32"/>
      <c r="O86" s="32"/>
      <c r="P86" s="32"/>
      <c r="Q86" s="32"/>
      <c r="R86" s="32">
        <v>15000</v>
      </c>
      <c r="S86" s="32"/>
      <c r="T86" s="32"/>
      <c r="U86" s="3"/>
      <c r="V86" s="3"/>
      <c r="W86" s="3"/>
      <c r="X86" s="3"/>
      <c r="Y86" s="3"/>
      <c r="Z86" s="3"/>
      <c r="AA86" s="3"/>
      <c r="AB86" s="3"/>
    </row>
    <row r="87" spans="1:28" ht="18.75" customHeight="1">
      <c r="A87" s="29">
        <v>27</v>
      </c>
      <c r="B87" s="30" t="s">
        <v>97</v>
      </c>
      <c r="C87" s="31">
        <f t="shared" si="2"/>
        <v>10575</v>
      </c>
      <c r="D87" s="32"/>
      <c r="E87" s="32"/>
      <c r="F87" s="32"/>
      <c r="G87" s="32"/>
      <c r="H87" s="32"/>
      <c r="I87" s="32"/>
      <c r="J87" s="32"/>
      <c r="K87" s="32"/>
      <c r="L87" s="32"/>
      <c r="M87" s="32"/>
      <c r="N87" s="32"/>
      <c r="O87" s="32"/>
      <c r="P87" s="32"/>
      <c r="Q87" s="32"/>
      <c r="R87" s="32">
        <v>10575</v>
      </c>
      <c r="S87" s="32">
        <v>1058</v>
      </c>
      <c r="T87" s="32"/>
      <c r="U87" s="3"/>
      <c r="V87" s="3"/>
      <c r="W87" s="3"/>
      <c r="X87" s="3"/>
      <c r="Y87" s="3"/>
      <c r="Z87" s="3"/>
      <c r="AA87" s="3"/>
      <c r="AB87" s="3"/>
    </row>
    <row r="88" spans="1:28" ht="18.75" customHeight="1">
      <c r="A88" s="29">
        <v>28</v>
      </c>
      <c r="B88" s="33" t="s">
        <v>98</v>
      </c>
      <c r="C88" s="31">
        <f t="shared" si="2"/>
        <v>14557</v>
      </c>
      <c r="D88" s="32"/>
      <c r="E88" s="32"/>
      <c r="F88" s="32">
        <v>12557</v>
      </c>
      <c r="G88" s="32">
        <v>2000</v>
      </c>
      <c r="H88" s="32"/>
      <c r="I88" s="32"/>
      <c r="J88" s="32"/>
      <c r="K88" s="32"/>
      <c r="L88" s="32"/>
      <c r="M88" s="32"/>
      <c r="N88" s="32"/>
      <c r="O88" s="32"/>
      <c r="P88" s="32"/>
      <c r="Q88" s="32"/>
      <c r="R88" s="32"/>
      <c r="S88" s="32"/>
      <c r="T88" s="32"/>
      <c r="U88" s="3"/>
      <c r="V88" s="3"/>
      <c r="W88" s="3"/>
      <c r="X88" s="3"/>
      <c r="Y88" s="3"/>
      <c r="Z88" s="3"/>
      <c r="AA88" s="3"/>
      <c r="AB88" s="3"/>
    </row>
    <row r="89" spans="1:28" ht="18.75" customHeight="1">
      <c r="A89" s="29">
        <v>29</v>
      </c>
      <c r="B89" s="33" t="s">
        <v>111</v>
      </c>
      <c r="C89" s="31">
        <f t="shared" si="2"/>
        <v>1000</v>
      </c>
      <c r="D89" s="32"/>
      <c r="E89" s="32"/>
      <c r="F89" s="32"/>
      <c r="G89" s="32">
        <v>1000</v>
      </c>
      <c r="H89" s="32"/>
      <c r="I89" s="32"/>
      <c r="J89" s="32"/>
      <c r="K89" s="32"/>
      <c r="L89" s="32"/>
      <c r="M89" s="32"/>
      <c r="N89" s="32"/>
      <c r="O89" s="32"/>
      <c r="P89" s="32"/>
      <c r="Q89" s="32"/>
      <c r="R89" s="32"/>
      <c r="S89" s="32"/>
      <c r="T89" s="32"/>
      <c r="U89" s="3"/>
      <c r="V89" s="3"/>
      <c r="W89" s="3"/>
      <c r="X89" s="3"/>
      <c r="Y89" s="3"/>
      <c r="Z89" s="3"/>
      <c r="AA89" s="3"/>
      <c r="AB89" s="3"/>
    </row>
    <row r="90" spans="1:28" ht="16.5">
      <c r="A90" s="29">
        <v>30</v>
      </c>
      <c r="B90" s="33" t="s">
        <v>110</v>
      </c>
      <c r="C90" s="31">
        <f t="shared" si="2"/>
        <v>2000</v>
      </c>
      <c r="D90" s="32"/>
      <c r="E90" s="32"/>
      <c r="F90" s="32"/>
      <c r="G90" s="32">
        <v>2000</v>
      </c>
      <c r="H90" s="32"/>
      <c r="I90" s="32"/>
      <c r="J90" s="32"/>
      <c r="K90" s="32"/>
      <c r="L90" s="32"/>
      <c r="M90" s="32"/>
      <c r="N90" s="32"/>
      <c r="O90" s="32"/>
      <c r="P90" s="32"/>
      <c r="Q90" s="32"/>
      <c r="R90" s="32"/>
      <c r="S90" s="32"/>
      <c r="T90" s="32"/>
      <c r="U90" s="3"/>
      <c r="V90" s="3"/>
      <c r="W90" s="3"/>
      <c r="X90" s="3"/>
      <c r="Y90" s="3"/>
      <c r="Z90" s="3"/>
      <c r="AA90" s="3"/>
      <c r="AB90" s="3"/>
    </row>
    <row r="91" spans="1:28" ht="66">
      <c r="A91" s="29">
        <v>31</v>
      </c>
      <c r="B91" s="33" t="s">
        <v>99</v>
      </c>
      <c r="C91" s="31">
        <f t="shared" si="2"/>
        <v>1688</v>
      </c>
      <c r="D91" s="32"/>
      <c r="E91" s="32"/>
      <c r="F91" s="32"/>
      <c r="G91" s="32"/>
      <c r="H91" s="32"/>
      <c r="I91" s="32"/>
      <c r="J91" s="32"/>
      <c r="K91" s="32"/>
      <c r="L91" s="32"/>
      <c r="M91" s="32"/>
      <c r="N91" s="32"/>
      <c r="O91" s="32"/>
      <c r="P91" s="32"/>
      <c r="Q91" s="32"/>
      <c r="R91" s="32">
        <v>1688</v>
      </c>
      <c r="S91" s="32"/>
      <c r="T91" s="32"/>
      <c r="U91" s="3"/>
      <c r="V91" s="3"/>
      <c r="W91" s="3"/>
      <c r="X91" s="3"/>
      <c r="Y91" s="3"/>
      <c r="Z91" s="3"/>
      <c r="AA91" s="3"/>
      <c r="AB91" s="3"/>
    </row>
    <row r="92" spans="1:28" ht="49.5">
      <c r="A92" s="29">
        <v>32</v>
      </c>
      <c r="B92" s="36" t="s">
        <v>109</v>
      </c>
      <c r="C92" s="37">
        <f t="shared" si="2"/>
        <v>4500</v>
      </c>
      <c r="D92" s="38"/>
      <c r="E92" s="38"/>
      <c r="F92" s="38"/>
      <c r="G92" s="38">
        <v>4500</v>
      </c>
      <c r="H92" s="38"/>
      <c r="I92" s="38"/>
      <c r="J92" s="38"/>
      <c r="K92" s="38"/>
      <c r="L92" s="38"/>
      <c r="M92" s="38"/>
      <c r="N92" s="38"/>
      <c r="O92" s="38"/>
      <c r="P92" s="38"/>
      <c r="Q92" s="38"/>
      <c r="R92" s="38"/>
      <c r="S92" s="38"/>
      <c r="T92" s="38"/>
      <c r="U92" s="3"/>
      <c r="V92" s="3"/>
      <c r="W92" s="3"/>
      <c r="X92" s="3"/>
      <c r="Y92" s="3"/>
      <c r="Z92" s="3"/>
      <c r="AA92" s="3"/>
      <c r="AB92" s="3"/>
    </row>
    <row r="93" spans="1:28" ht="18.75" customHeight="1">
      <c r="A93" s="11"/>
      <c r="B93" s="11"/>
      <c r="C93" s="11"/>
      <c r="D93" s="11"/>
      <c r="E93" s="11"/>
      <c r="F93" s="11"/>
      <c r="G93" s="11"/>
      <c r="H93" s="11"/>
      <c r="I93" s="11"/>
      <c r="J93" s="11"/>
      <c r="K93" s="11"/>
      <c r="L93" s="11"/>
      <c r="M93" s="11"/>
      <c r="N93" s="11"/>
      <c r="O93" s="11"/>
      <c r="P93" s="11"/>
      <c r="Q93" s="11"/>
      <c r="R93" s="11"/>
      <c r="S93" s="3"/>
      <c r="T93" s="3"/>
      <c r="U93" s="3"/>
      <c r="V93" s="3"/>
      <c r="W93" s="3"/>
      <c r="X93" s="3"/>
      <c r="Y93" s="3"/>
      <c r="Z93" s="3"/>
      <c r="AA93" s="3"/>
      <c r="AB93" s="3"/>
    </row>
    <row r="94" spans="1:28" ht="19.5">
      <c r="A94" s="3"/>
      <c r="B94" s="3"/>
      <c r="C94" s="3"/>
      <c r="D94" s="3"/>
      <c r="E94" s="3"/>
      <c r="F94" s="3"/>
      <c r="G94" s="3"/>
      <c r="H94" s="3"/>
      <c r="I94" s="3"/>
      <c r="J94" s="3"/>
      <c r="K94" s="3"/>
      <c r="L94" s="3"/>
      <c r="P94" s="65"/>
      <c r="Q94" s="65"/>
      <c r="R94" s="65"/>
      <c r="S94" s="3"/>
      <c r="T94" s="3"/>
      <c r="U94" s="3"/>
      <c r="V94" s="3"/>
      <c r="W94" s="3"/>
      <c r="X94" s="3"/>
      <c r="Y94" s="3"/>
      <c r="Z94" s="3"/>
      <c r="AA94" s="3"/>
      <c r="AB94" s="3"/>
    </row>
    <row r="95" spans="1:28" ht="15.75" customHeight="1">
      <c r="A95" s="3"/>
      <c r="B95" s="3"/>
      <c r="C95" s="3"/>
      <c r="D95" s="3"/>
      <c r="E95" s="3"/>
      <c r="F95" s="3"/>
      <c r="G95" s="3"/>
      <c r="H95" s="3"/>
      <c r="I95" s="3"/>
      <c r="J95" s="3"/>
      <c r="K95" s="3"/>
      <c r="L95" s="3"/>
      <c r="M95" s="14"/>
      <c r="N95" s="14"/>
      <c r="O95" s="14"/>
      <c r="P95" s="3"/>
      <c r="Q95" s="3"/>
      <c r="R95" s="3"/>
      <c r="S95" s="3"/>
      <c r="T95" s="3"/>
      <c r="U95" s="3"/>
      <c r="V95" s="3"/>
      <c r="W95" s="3"/>
      <c r="X95" s="3"/>
      <c r="Y95" s="3"/>
      <c r="Z95" s="3"/>
      <c r="AA95" s="3"/>
      <c r="AB95" s="3"/>
    </row>
    <row r="96" spans="1:28" ht="15.75" customHeight="1">
      <c r="A96" s="3"/>
      <c r="B96" s="3"/>
      <c r="C96" s="3"/>
      <c r="D96" s="3"/>
      <c r="E96" s="3"/>
      <c r="F96" s="3"/>
      <c r="G96" s="3"/>
      <c r="H96" s="3"/>
      <c r="I96" s="3"/>
      <c r="J96" s="3"/>
      <c r="K96" s="3"/>
      <c r="L96" s="3"/>
      <c r="M96" s="14"/>
      <c r="N96" s="14"/>
      <c r="O96" s="14"/>
      <c r="P96" s="3"/>
      <c r="Q96" s="3"/>
      <c r="R96" s="3"/>
      <c r="S96" s="3"/>
      <c r="T96" s="3"/>
      <c r="U96" s="3"/>
      <c r="V96" s="3"/>
      <c r="W96" s="3"/>
      <c r="X96" s="3"/>
      <c r="Y96" s="3"/>
      <c r="Z96" s="3"/>
      <c r="AA96" s="3"/>
      <c r="AB96" s="3"/>
    </row>
    <row r="97" spans="1:28" ht="15.75" customHeight="1">
      <c r="A97" s="3"/>
      <c r="B97" s="3"/>
      <c r="C97" s="3"/>
      <c r="D97" s="3"/>
      <c r="E97" s="3"/>
      <c r="F97" s="3"/>
      <c r="G97" s="3"/>
      <c r="H97" s="3"/>
      <c r="I97" s="3"/>
      <c r="J97" s="3"/>
      <c r="K97" s="3"/>
      <c r="L97" s="3"/>
      <c r="M97" s="14"/>
      <c r="N97" s="14"/>
      <c r="O97" s="14"/>
      <c r="P97" s="3"/>
      <c r="Q97" s="3"/>
      <c r="R97" s="3"/>
      <c r="S97" s="3"/>
      <c r="T97" s="3"/>
      <c r="U97" s="3"/>
      <c r="V97" s="3"/>
      <c r="W97" s="3"/>
      <c r="X97" s="3"/>
      <c r="Y97" s="3"/>
      <c r="Z97" s="3"/>
      <c r="AA97" s="3"/>
      <c r="AB97" s="3"/>
    </row>
    <row r="98" spans="1:28" ht="15.75" customHeight="1">
      <c r="A98" s="3"/>
      <c r="B98" s="3"/>
      <c r="C98" s="3"/>
      <c r="D98" s="3"/>
      <c r="E98" s="3"/>
      <c r="F98" s="3"/>
      <c r="G98" s="3"/>
      <c r="H98" s="3"/>
      <c r="I98" s="3"/>
      <c r="J98" s="3"/>
      <c r="K98" s="3"/>
      <c r="L98" s="3"/>
      <c r="M98" s="14"/>
      <c r="N98" s="14"/>
      <c r="O98" s="14"/>
      <c r="P98" s="3"/>
      <c r="Q98" s="3"/>
      <c r="R98" s="3"/>
      <c r="S98" s="3"/>
      <c r="T98" s="3"/>
      <c r="U98" s="3"/>
      <c r="V98" s="3"/>
      <c r="W98" s="3"/>
      <c r="X98" s="3"/>
      <c r="Y98" s="3"/>
      <c r="Z98" s="3"/>
      <c r="AA98" s="3"/>
      <c r="AB98" s="3"/>
    </row>
    <row r="99" spans="1:28" ht="15.75" customHeight="1">
      <c r="A99" s="3"/>
      <c r="B99" s="3"/>
      <c r="C99" s="3"/>
      <c r="D99" s="3"/>
      <c r="E99" s="3"/>
      <c r="F99" s="3"/>
      <c r="G99" s="3"/>
      <c r="H99" s="3"/>
      <c r="I99" s="3"/>
      <c r="J99" s="3"/>
      <c r="K99" s="3"/>
      <c r="L99" s="3"/>
      <c r="M99" s="14"/>
      <c r="N99" s="14"/>
      <c r="O99" s="14"/>
      <c r="P99" s="3"/>
      <c r="Q99" s="3"/>
      <c r="R99" s="3"/>
      <c r="S99" s="3"/>
      <c r="T99" s="3"/>
      <c r="U99" s="3"/>
      <c r="V99" s="3"/>
      <c r="W99" s="3"/>
      <c r="X99" s="3"/>
      <c r="Y99" s="3"/>
      <c r="Z99" s="3"/>
      <c r="AA99" s="3"/>
      <c r="AB99" s="3"/>
    </row>
    <row r="100" spans="1:28" ht="15.75" customHeight="1">
      <c r="A100" s="3"/>
      <c r="B100" s="3"/>
      <c r="C100" s="3"/>
      <c r="D100" s="3"/>
      <c r="E100" s="3"/>
      <c r="F100" s="3"/>
      <c r="G100" s="3"/>
      <c r="H100" s="3"/>
      <c r="I100" s="3"/>
      <c r="J100" s="3"/>
      <c r="K100" s="3"/>
      <c r="L100" s="3"/>
      <c r="P100" s="65"/>
      <c r="Q100" s="65"/>
      <c r="R100" s="65"/>
      <c r="S100" s="3"/>
      <c r="T100" s="3"/>
      <c r="U100" s="3"/>
      <c r="V100" s="3"/>
      <c r="W100" s="3"/>
      <c r="X100" s="3"/>
      <c r="Y100" s="3"/>
      <c r="Z100" s="3"/>
      <c r="AA100" s="3"/>
      <c r="AB100" s="3"/>
    </row>
    <row r="101" spans="1:28"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1:28"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1:28"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1:28"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1:28"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8"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1:2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1:2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1:2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1:2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1:2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1:2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1:2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1:2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1:2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1:2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1:2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1:2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1:2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1:2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1:2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1:2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1:2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1:2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1:2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1:2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1:2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sheetData>
  <mergeCells count="24">
    <mergeCell ref="L6:L7"/>
    <mergeCell ref="P94:R94"/>
    <mergeCell ref="P100:R100"/>
    <mergeCell ref="M6:M7"/>
    <mergeCell ref="N6:O6"/>
    <mergeCell ref="P6:P7"/>
    <mergeCell ref="Q6:Q7"/>
    <mergeCell ref="R6:R7"/>
    <mergeCell ref="F6:F7"/>
    <mergeCell ref="A1:T1"/>
    <mergeCell ref="A2:T2"/>
    <mergeCell ref="A3:T3"/>
    <mergeCell ref="A4:T4"/>
    <mergeCell ref="A6:A7"/>
    <mergeCell ref="B6:B7"/>
    <mergeCell ref="C6:C7"/>
    <mergeCell ref="D6:D7"/>
    <mergeCell ref="E6:E7"/>
    <mergeCell ref="S6:T6"/>
    <mergeCell ref="G6:G7"/>
    <mergeCell ref="H6:H7"/>
    <mergeCell ref="I6:I7"/>
    <mergeCell ref="J6:J7"/>
    <mergeCell ref="K6:K7"/>
  </mergeCells>
  <pageMargins left="0.27559055118110237" right="0.15748031496062992" top="0.39370078740157483" bottom="0.19685039370078741"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dimension ref="A1:AB1005"/>
  <sheetViews>
    <sheetView tabSelected="1" topLeftCell="A4" zoomScale="75" zoomScaleNormal="75" workbookViewId="0">
      <selection activeCell="A10" sqref="A10"/>
    </sheetView>
  </sheetViews>
  <sheetFormatPr defaultColWidth="12.85546875" defaultRowHeight="15"/>
  <cols>
    <col min="1" max="1" width="5.85546875" style="15" customWidth="1"/>
    <col min="2" max="2" width="39.7109375" style="15" customWidth="1"/>
    <col min="3" max="3" width="13.140625" style="15" customWidth="1"/>
    <col min="4" max="4" width="11.28515625" style="15" customWidth="1"/>
    <col min="5" max="5" width="10.140625" style="15" customWidth="1"/>
    <col min="6" max="6" width="9.85546875" style="15" customWidth="1"/>
    <col min="7" max="7" width="10" style="15" customWidth="1"/>
    <col min="8" max="8" width="11.7109375" style="15" customWidth="1"/>
    <col min="9" max="9" width="10" style="15" customWidth="1"/>
    <col min="10" max="12" width="9.85546875" style="15" customWidth="1"/>
    <col min="13" max="13" width="11.85546875" style="15" customWidth="1"/>
    <col min="14" max="14" width="10.42578125" style="15" customWidth="1"/>
    <col min="15" max="15" width="11" style="15" customWidth="1"/>
    <col min="16" max="16" width="11.42578125" style="15" customWidth="1"/>
    <col min="17" max="17" width="10" style="15" customWidth="1"/>
    <col min="18" max="18" width="10.140625" style="15" customWidth="1"/>
    <col min="19" max="19" width="10" style="15" customWidth="1"/>
    <col min="20" max="20" width="10.28515625" style="15" customWidth="1"/>
    <col min="21" max="21" width="11.140625" style="15" hidden="1" customWidth="1"/>
    <col min="22" max="28" width="10.28515625" style="15" customWidth="1"/>
    <col min="29" max="16384" width="12.85546875" style="15"/>
  </cols>
  <sheetData>
    <row r="1" spans="1:28" ht="18.75" hidden="1" customHeight="1">
      <c r="A1" s="1" t="s">
        <v>0</v>
      </c>
      <c r="B1" s="2"/>
      <c r="C1" s="3"/>
      <c r="D1" s="3"/>
      <c r="E1" s="3"/>
      <c r="F1" s="3"/>
      <c r="H1" s="4"/>
      <c r="I1" s="55" t="s">
        <v>1</v>
      </c>
      <c r="J1" s="55"/>
      <c r="K1" s="55"/>
      <c r="L1" s="55"/>
      <c r="M1" s="55"/>
      <c r="N1" s="55"/>
      <c r="O1" s="55"/>
      <c r="P1" s="55"/>
      <c r="Q1" s="55"/>
      <c r="R1" s="55"/>
      <c r="S1" s="55"/>
      <c r="T1" s="55"/>
      <c r="U1" s="4"/>
      <c r="V1" s="4"/>
      <c r="W1" s="3"/>
      <c r="X1" s="3"/>
      <c r="Y1" s="3"/>
      <c r="Z1" s="3"/>
      <c r="AA1" s="3"/>
      <c r="AB1" s="3"/>
    </row>
    <row r="2" spans="1:28" ht="18.75" hidden="1" customHeight="1">
      <c r="A2" s="5" t="s">
        <v>2</v>
      </c>
      <c r="B2" s="6"/>
      <c r="C2" s="3"/>
      <c r="D2" s="3"/>
      <c r="E2" s="3"/>
      <c r="F2" s="3"/>
      <c r="H2" s="4"/>
      <c r="I2" s="55" t="s">
        <v>3</v>
      </c>
      <c r="J2" s="55"/>
      <c r="K2" s="55"/>
      <c r="L2" s="55"/>
      <c r="M2" s="55"/>
      <c r="N2" s="55"/>
      <c r="O2" s="55"/>
      <c r="P2" s="55"/>
      <c r="Q2" s="55"/>
      <c r="R2" s="55"/>
      <c r="S2" s="55"/>
      <c r="T2" s="55"/>
      <c r="U2" s="4"/>
      <c r="V2" s="4"/>
      <c r="W2" s="4"/>
      <c r="X2" s="4"/>
      <c r="Y2" s="4"/>
      <c r="Z2" s="3"/>
      <c r="AA2" s="3"/>
      <c r="AB2" s="3"/>
    </row>
    <row r="3" spans="1:28" ht="9" hidden="1" customHeight="1">
      <c r="A3" s="5"/>
      <c r="B3" s="7"/>
      <c r="C3" s="8"/>
      <c r="D3" s="9"/>
      <c r="E3" s="8"/>
      <c r="F3" s="8"/>
      <c r="G3" s="8"/>
      <c r="H3" s="10"/>
      <c r="J3" s="3"/>
      <c r="K3" s="3"/>
      <c r="L3" s="3"/>
      <c r="M3" s="3"/>
      <c r="N3" s="3"/>
      <c r="O3" s="3"/>
      <c r="P3" s="3"/>
      <c r="Q3" s="3"/>
      <c r="R3" s="3"/>
      <c r="S3" s="3"/>
      <c r="T3" s="3"/>
      <c r="U3" s="3"/>
      <c r="V3" s="3"/>
      <c r="W3" s="3"/>
      <c r="X3" s="3"/>
      <c r="Y3" s="3"/>
      <c r="Z3" s="3"/>
      <c r="AA3" s="3"/>
      <c r="AB3" s="3"/>
    </row>
    <row r="4" spans="1:28" ht="18.75">
      <c r="A4" s="5"/>
      <c r="B4" s="49" t="s">
        <v>174</v>
      </c>
      <c r="C4" s="8"/>
      <c r="D4" s="9"/>
      <c r="E4" s="8"/>
      <c r="F4" s="8"/>
      <c r="G4" s="8"/>
      <c r="H4" s="10"/>
      <c r="J4" s="3"/>
      <c r="K4" s="3"/>
      <c r="L4" s="3"/>
      <c r="M4" s="3"/>
      <c r="N4" s="50"/>
      <c r="O4" s="50"/>
      <c r="P4" s="50"/>
      <c r="Q4" s="50"/>
      <c r="R4" s="50"/>
      <c r="S4" s="3"/>
      <c r="T4" s="52" t="s">
        <v>176</v>
      </c>
      <c r="U4" s="3"/>
      <c r="V4" s="3"/>
      <c r="W4" s="3"/>
      <c r="X4" s="3"/>
      <c r="Y4" s="3"/>
      <c r="Z4" s="3"/>
      <c r="AA4" s="3"/>
      <c r="AB4" s="3"/>
    </row>
    <row r="5" spans="1:28" ht="18.75">
      <c r="A5" s="5"/>
      <c r="B5" s="49" t="s">
        <v>175</v>
      </c>
      <c r="C5" s="8"/>
      <c r="D5" s="9"/>
      <c r="E5" s="8"/>
      <c r="F5" s="8"/>
      <c r="G5" s="8"/>
      <c r="H5" s="10"/>
      <c r="J5" s="3"/>
      <c r="K5" s="3"/>
      <c r="L5" s="3"/>
      <c r="M5" s="3"/>
      <c r="N5" s="51"/>
      <c r="O5" s="51"/>
      <c r="P5" s="51"/>
      <c r="Q5" s="51"/>
      <c r="R5" s="51"/>
      <c r="S5" s="3"/>
      <c r="T5" s="3"/>
      <c r="U5" s="3"/>
      <c r="V5" s="3"/>
      <c r="W5" s="3"/>
      <c r="X5" s="3"/>
      <c r="Y5" s="3"/>
      <c r="Z5" s="3"/>
      <c r="AA5" s="3"/>
      <c r="AB5" s="3"/>
    </row>
    <row r="6" spans="1:28" ht="18.75">
      <c r="A6" s="5"/>
      <c r="B6" s="6"/>
      <c r="C6" s="8"/>
      <c r="D6" s="9"/>
      <c r="E6" s="8"/>
      <c r="F6" s="8"/>
      <c r="G6" s="8"/>
      <c r="H6" s="10"/>
      <c r="J6" s="3"/>
      <c r="K6" s="3"/>
      <c r="L6" s="3"/>
      <c r="M6" s="3"/>
      <c r="N6" s="3"/>
      <c r="O6" s="3"/>
      <c r="P6" s="3"/>
      <c r="Q6" s="3"/>
      <c r="R6" s="3"/>
      <c r="S6" s="3"/>
      <c r="T6" s="3"/>
      <c r="U6" s="3"/>
      <c r="V6" s="3"/>
      <c r="W6" s="3"/>
      <c r="X6" s="3"/>
      <c r="Y6" s="3"/>
      <c r="Z6" s="3"/>
      <c r="AA6" s="3"/>
      <c r="AB6" s="3"/>
    </row>
    <row r="7" spans="1:28" ht="21" customHeight="1">
      <c r="A7" s="64" t="s">
        <v>5</v>
      </c>
      <c r="B7" s="64"/>
      <c r="C7" s="64"/>
      <c r="D7" s="64"/>
      <c r="E7" s="64"/>
      <c r="F7" s="64"/>
      <c r="G7" s="64"/>
      <c r="H7" s="64"/>
      <c r="I7" s="64"/>
      <c r="J7" s="64"/>
      <c r="K7" s="64"/>
      <c r="L7" s="64"/>
      <c r="M7" s="64"/>
      <c r="N7" s="64"/>
      <c r="O7" s="64"/>
      <c r="P7" s="64"/>
      <c r="Q7" s="64"/>
      <c r="R7" s="64"/>
      <c r="S7" s="64"/>
      <c r="T7" s="64"/>
      <c r="U7" s="3"/>
      <c r="V7" s="3"/>
      <c r="W7" s="3"/>
      <c r="X7" s="3"/>
      <c r="Y7" s="3"/>
      <c r="Z7" s="3"/>
      <c r="AA7" s="3"/>
      <c r="AB7" s="3"/>
    </row>
    <row r="8" spans="1:28" ht="20.25" customHeight="1">
      <c r="A8" s="64" t="s">
        <v>122</v>
      </c>
      <c r="B8" s="64"/>
      <c r="C8" s="64"/>
      <c r="D8" s="64"/>
      <c r="E8" s="64"/>
      <c r="F8" s="64"/>
      <c r="G8" s="64"/>
      <c r="H8" s="64"/>
      <c r="I8" s="64"/>
      <c r="J8" s="64"/>
      <c r="K8" s="64"/>
      <c r="L8" s="64"/>
      <c r="M8" s="64"/>
      <c r="N8" s="64"/>
      <c r="O8" s="64"/>
      <c r="P8" s="64"/>
      <c r="Q8" s="64"/>
      <c r="R8" s="64"/>
      <c r="S8" s="64"/>
      <c r="T8" s="64"/>
      <c r="U8" s="3"/>
      <c r="V8" s="3"/>
      <c r="W8" s="3"/>
      <c r="X8" s="3"/>
      <c r="Y8" s="3"/>
      <c r="Z8" s="3"/>
      <c r="AA8" s="3"/>
      <c r="AB8" s="3"/>
    </row>
    <row r="9" spans="1:28" ht="20.25" customHeight="1">
      <c r="A9" s="56" t="s">
        <v>177</v>
      </c>
      <c r="B9" s="56"/>
      <c r="C9" s="56"/>
      <c r="D9" s="56"/>
      <c r="E9" s="56"/>
      <c r="F9" s="56"/>
      <c r="G9" s="56"/>
      <c r="H9" s="56"/>
      <c r="I9" s="56"/>
      <c r="J9" s="56"/>
      <c r="K9" s="56"/>
      <c r="L9" s="56"/>
      <c r="M9" s="56"/>
      <c r="N9" s="56"/>
      <c r="O9" s="56"/>
      <c r="P9" s="56"/>
      <c r="Q9" s="56"/>
      <c r="R9" s="56"/>
      <c r="S9" s="56"/>
      <c r="T9" s="56"/>
      <c r="U9" s="3"/>
      <c r="V9" s="3"/>
      <c r="W9" s="3"/>
      <c r="X9" s="3"/>
      <c r="Y9" s="3"/>
      <c r="Z9" s="3"/>
      <c r="AA9" s="3"/>
      <c r="AB9" s="3"/>
    </row>
    <row r="10" spans="1:28" ht="19.5" customHeight="1">
      <c r="A10" s="17"/>
      <c r="B10" s="17"/>
      <c r="C10" s="12"/>
      <c r="D10" s="12"/>
      <c r="E10" s="12"/>
      <c r="F10" s="12"/>
      <c r="G10" s="18"/>
      <c r="H10" s="18"/>
      <c r="I10" s="18"/>
      <c r="J10" s="18"/>
      <c r="K10" s="18"/>
      <c r="L10" s="18"/>
      <c r="M10" s="18"/>
      <c r="N10" s="18"/>
      <c r="O10" s="18"/>
      <c r="P10" s="18"/>
      <c r="Q10" s="18"/>
      <c r="S10" s="12"/>
      <c r="T10" s="19" t="s">
        <v>6</v>
      </c>
      <c r="U10" s="3"/>
      <c r="V10" s="3"/>
      <c r="W10" s="3"/>
      <c r="X10" s="3"/>
      <c r="Y10" s="3"/>
      <c r="Z10" s="3"/>
      <c r="AA10" s="3"/>
      <c r="AB10" s="3"/>
    </row>
    <row r="11" spans="1:28" ht="28.5" customHeight="1">
      <c r="A11" s="53" t="s">
        <v>7</v>
      </c>
      <c r="B11" s="57" t="s">
        <v>8</v>
      </c>
      <c r="C11" s="58" t="s">
        <v>9</v>
      </c>
      <c r="D11" s="53" t="s">
        <v>10</v>
      </c>
      <c r="E11" s="53" t="s">
        <v>11</v>
      </c>
      <c r="F11" s="53" t="s">
        <v>12</v>
      </c>
      <c r="G11" s="53" t="s">
        <v>13</v>
      </c>
      <c r="H11" s="53" t="s">
        <v>14</v>
      </c>
      <c r="I11" s="53" t="s">
        <v>15</v>
      </c>
      <c r="J11" s="53" t="s">
        <v>16</v>
      </c>
      <c r="K11" s="53" t="s">
        <v>17</v>
      </c>
      <c r="L11" s="53" t="s">
        <v>18</v>
      </c>
      <c r="M11" s="53" t="s">
        <v>19</v>
      </c>
      <c r="N11" s="62" t="s">
        <v>20</v>
      </c>
      <c r="O11" s="63"/>
      <c r="P11" s="53" t="s">
        <v>100</v>
      </c>
      <c r="Q11" s="53" t="s">
        <v>21</v>
      </c>
      <c r="R11" s="60" t="s">
        <v>22</v>
      </c>
      <c r="S11" s="59" t="s">
        <v>117</v>
      </c>
      <c r="T11" s="59"/>
      <c r="U11" s="12"/>
      <c r="V11" s="12"/>
      <c r="W11" s="12"/>
      <c r="X11" s="12"/>
      <c r="Y11" s="12"/>
      <c r="Z11" s="12"/>
      <c r="AA11" s="12"/>
      <c r="AB11" s="12"/>
    </row>
    <row r="12" spans="1:28" ht="114" customHeight="1">
      <c r="A12" s="54"/>
      <c r="B12" s="54"/>
      <c r="C12" s="54"/>
      <c r="D12" s="54"/>
      <c r="E12" s="54"/>
      <c r="F12" s="54"/>
      <c r="G12" s="54"/>
      <c r="H12" s="54"/>
      <c r="I12" s="54"/>
      <c r="J12" s="54"/>
      <c r="K12" s="54"/>
      <c r="L12" s="54"/>
      <c r="M12" s="54"/>
      <c r="N12" s="20" t="s">
        <v>23</v>
      </c>
      <c r="O12" s="20" t="s">
        <v>24</v>
      </c>
      <c r="P12" s="54"/>
      <c r="Q12" s="54"/>
      <c r="R12" s="61"/>
      <c r="S12" s="40" t="s">
        <v>115</v>
      </c>
      <c r="T12" s="40" t="s">
        <v>116</v>
      </c>
      <c r="U12" s="12"/>
      <c r="V12" s="12"/>
      <c r="W12" s="12"/>
      <c r="X12" s="12"/>
      <c r="Y12" s="12"/>
      <c r="Z12" s="12"/>
      <c r="AA12" s="12"/>
      <c r="AB12" s="12"/>
    </row>
    <row r="13" spans="1:28" ht="17.25" customHeight="1">
      <c r="A13" s="21" t="s">
        <v>25</v>
      </c>
      <c r="B13" s="21" t="s">
        <v>26</v>
      </c>
      <c r="C13" s="22">
        <v>1</v>
      </c>
      <c r="D13" s="22">
        <f t="shared" ref="D13:R13" si="0">C13+1</f>
        <v>2</v>
      </c>
      <c r="E13" s="22">
        <f t="shared" si="0"/>
        <v>3</v>
      </c>
      <c r="F13" s="22">
        <f t="shared" si="0"/>
        <v>4</v>
      </c>
      <c r="G13" s="22">
        <f t="shared" si="0"/>
        <v>5</v>
      </c>
      <c r="H13" s="22">
        <f t="shared" si="0"/>
        <v>6</v>
      </c>
      <c r="I13" s="22">
        <f t="shared" si="0"/>
        <v>7</v>
      </c>
      <c r="J13" s="22">
        <f t="shared" si="0"/>
        <v>8</v>
      </c>
      <c r="K13" s="22">
        <f t="shared" si="0"/>
        <v>9</v>
      </c>
      <c r="L13" s="22">
        <f t="shared" si="0"/>
        <v>10</v>
      </c>
      <c r="M13" s="22">
        <f t="shared" si="0"/>
        <v>11</v>
      </c>
      <c r="N13" s="22">
        <f t="shared" si="0"/>
        <v>12</v>
      </c>
      <c r="O13" s="22">
        <f t="shared" si="0"/>
        <v>13</v>
      </c>
      <c r="P13" s="22">
        <f t="shared" si="0"/>
        <v>14</v>
      </c>
      <c r="Q13" s="22">
        <f t="shared" si="0"/>
        <v>15</v>
      </c>
      <c r="R13" s="22">
        <f t="shared" si="0"/>
        <v>16</v>
      </c>
      <c r="S13" s="22">
        <v>17</v>
      </c>
      <c r="T13" s="22">
        <v>18</v>
      </c>
      <c r="U13" s="13"/>
      <c r="V13" s="13"/>
      <c r="W13" s="13"/>
      <c r="X13" s="13"/>
      <c r="Y13" s="13"/>
      <c r="Z13" s="13"/>
      <c r="AA13" s="13"/>
      <c r="AB13" s="13"/>
    </row>
    <row r="14" spans="1:28" ht="23.25" customHeight="1">
      <c r="A14" s="23"/>
      <c r="B14" s="24" t="s">
        <v>27</v>
      </c>
      <c r="C14" s="25">
        <f>SUM(D14:M14)+P14+Q14+R14</f>
        <v>1977089</v>
      </c>
      <c r="D14" s="25">
        <f>D15+D66</f>
        <v>642846</v>
      </c>
      <c r="E14" s="25">
        <f t="shared" ref="E14:T14" si="1">E15+E66</f>
        <v>28686</v>
      </c>
      <c r="F14" s="25">
        <f t="shared" si="1"/>
        <v>52938</v>
      </c>
      <c r="G14" s="25">
        <f t="shared" si="1"/>
        <v>12844</v>
      </c>
      <c r="H14" s="25">
        <f t="shared" si="1"/>
        <v>332071</v>
      </c>
      <c r="I14" s="25">
        <f t="shared" si="1"/>
        <v>37443</v>
      </c>
      <c r="J14" s="25">
        <f t="shared" si="1"/>
        <v>4022</v>
      </c>
      <c r="K14" s="25">
        <f t="shared" si="1"/>
        <v>17739</v>
      </c>
      <c r="L14" s="25">
        <f t="shared" si="1"/>
        <v>49874</v>
      </c>
      <c r="M14" s="25">
        <f t="shared" si="1"/>
        <v>327441</v>
      </c>
      <c r="N14" s="25">
        <f t="shared" si="1"/>
        <v>36149</v>
      </c>
      <c r="O14" s="25">
        <f t="shared" si="1"/>
        <v>140437</v>
      </c>
      <c r="P14" s="25">
        <f t="shared" si="1"/>
        <v>302175</v>
      </c>
      <c r="Q14" s="25">
        <f t="shared" si="1"/>
        <v>77499</v>
      </c>
      <c r="R14" s="25">
        <f t="shared" si="1"/>
        <v>91511</v>
      </c>
      <c r="S14" s="25">
        <f t="shared" si="1"/>
        <v>60395</v>
      </c>
      <c r="T14" s="25">
        <f t="shared" si="1"/>
        <v>23982</v>
      </c>
      <c r="U14" s="11"/>
      <c r="V14" s="11"/>
      <c r="W14" s="11"/>
      <c r="X14" s="11"/>
      <c r="Y14" s="11"/>
      <c r="Z14" s="11"/>
      <c r="AA14" s="11"/>
      <c r="AB14" s="11"/>
    </row>
    <row r="15" spans="1:28" ht="33">
      <c r="A15" s="26" t="s">
        <v>28</v>
      </c>
      <c r="B15" s="27" t="s">
        <v>29</v>
      </c>
      <c r="C15" s="28">
        <f t="shared" ref="C15:C120" si="2">SUM(D15:M15)+P15+Q15+R15</f>
        <v>1145308</v>
      </c>
      <c r="D15" s="28">
        <f t="shared" ref="D15:R15" si="3">SUM(D16:D65)</f>
        <v>397922</v>
      </c>
      <c r="E15" s="28">
        <f t="shared" si="3"/>
        <v>28686</v>
      </c>
      <c r="F15" s="28">
        <f t="shared" si="3"/>
        <v>37400</v>
      </c>
      <c r="G15" s="28">
        <f t="shared" si="3"/>
        <v>3955</v>
      </c>
      <c r="H15" s="28">
        <f t="shared" si="3"/>
        <v>104193</v>
      </c>
      <c r="I15" s="28">
        <f t="shared" si="3"/>
        <v>35762</v>
      </c>
      <c r="J15" s="28">
        <f t="shared" si="3"/>
        <v>4022</v>
      </c>
      <c r="K15" s="28">
        <f t="shared" si="3"/>
        <v>17739</v>
      </c>
      <c r="L15" s="28">
        <f t="shared" si="3"/>
        <v>12096</v>
      </c>
      <c r="M15" s="28">
        <f t="shared" si="3"/>
        <v>139949</v>
      </c>
      <c r="N15" s="28">
        <f t="shared" si="3"/>
        <v>36149</v>
      </c>
      <c r="O15" s="28">
        <f t="shared" si="3"/>
        <v>48816</v>
      </c>
      <c r="P15" s="28">
        <f t="shared" si="3"/>
        <v>289006</v>
      </c>
      <c r="Q15" s="28">
        <f t="shared" si="3"/>
        <v>60578</v>
      </c>
      <c r="R15" s="28">
        <f t="shared" si="3"/>
        <v>14000</v>
      </c>
      <c r="S15" s="28">
        <f>SUM(S16:S65)</f>
        <v>22588</v>
      </c>
      <c r="T15" s="28">
        <f t="shared" ref="T15" si="4">SUM(T16:T65)</f>
        <v>23982</v>
      </c>
      <c r="U15" s="11"/>
      <c r="V15" s="11"/>
      <c r="W15" s="11"/>
      <c r="X15" s="11"/>
      <c r="Y15" s="11"/>
      <c r="Z15" s="11"/>
      <c r="AA15" s="11"/>
      <c r="AB15" s="11"/>
    </row>
    <row r="16" spans="1:28" ht="18.75" customHeight="1">
      <c r="A16" s="29">
        <v>1</v>
      </c>
      <c r="B16" s="30" t="s">
        <v>30</v>
      </c>
      <c r="C16" s="31">
        <f t="shared" si="2"/>
        <v>84492</v>
      </c>
      <c r="D16" s="31">
        <f>540</f>
        <v>540</v>
      </c>
      <c r="E16" s="31"/>
      <c r="F16" s="31"/>
      <c r="G16" s="31"/>
      <c r="H16" s="31"/>
      <c r="I16" s="31">
        <v>10286</v>
      </c>
      <c r="J16" s="31"/>
      <c r="K16" s="31"/>
      <c r="L16" s="31"/>
      <c r="M16" s="31"/>
      <c r="N16" s="31"/>
      <c r="O16" s="31"/>
      <c r="P16" s="31">
        <v>64466</v>
      </c>
      <c r="Q16" s="31">
        <v>9200</v>
      </c>
      <c r="R16" s="31"/>
      <c r="S16" s="31">
        <f>633+782</f>
        <v>1415</v>
      </c>
      <c r="T16" s="31">
        <v>244</v>
      </c>
      <c r="U16" s="11"/>
      <c r="V16" s="11"/>
      <c r="W16" s="11"/>
      <c r="X16" s="11"/>
      <c r="Y16" s="11"/>
      <c r="Z16" s="11"/>
      <c r="AA16" s="11"/>
      <c r="AB16" s="11"/>
    </row>
    <row r="17" spans="1:28" ht="18.75" customHeight="1">
      <c r="A17" s="29">
        <v>2</v>
      </c>
      <c r="B17" s="30" t="s">
        <v>31</v>
      </c>
      <c r="C17" s="31">
        <f t="shared" si="2"/>
        <v>24481</v>
      </c>
      <c r="D17" s="31">
        <v>150</v>
      </c>
      <c r="E17" s="31"/>
      <c r="F17" s="31"/>
      <c r="G17" s="31"/>
      <c r="H17" s="31"/>
      <c r="I17" s="31"/>
      <c r="J17" s="31"/>
      <c r="K17" s="31"/>
      <c r="L17" s="31"/>
      <c r="M17" s="31">
        <v>4226</v>
      </c>
      <c r="N17" s="31"/>
      <c r="O17" s="31"/>
      <c r="P17" s="31">
        <v>20105</v>
      </c>
      <c r="Q17" s="31"/>
      <c r="R17" s="31"/>
      <c r="S17" s="31">
        <f>190+29</f>
        <v>219</v>
      </c>
      <c r="T17" s="31">
        <v>40</v>
      </c>
      <c r="U17" s="11"/>
      <c r="V17" s="11"/>
      <c r="W17" s="11"/>
      <c r="X17" s="11"/>
      <c r="Y17" s="11"/>
      <c r="Z17" s="11"/>
      <c r="AA17" s="11"/>
      <c r="AB17" s="11"/>
    </row>
    <row r="18" spans="1:28" ht="18.75" customHeight="1">
      <c r="A18" s="29">
        <v>3</v>
      </c>
      <c r="B18" s="30" t="s">
        <v>32</v>
      </c>
      <c r="C18" s="31">
        <f t="shared" si="2"/>
        <v>10370</v>
      </c>
      <c r="D18" s="31">
        <v>30</v>
      </c>
      <c r="E18" s="31"/>
      <c r="F18" s="31"/>
      <c r="G18" s="31"/>
      <c r="H18" s="31"/>
      <c r="I18" s="31"/>
      <c r="J18" s="31"/>
      <c r="K18" s="31"/>
      <c r="L18" s="31"/>
      <c r="M18" s="31"/>
      <c r="N18" s="31"/>
      <c r="O18" s="31"/>
      <c r="P18" s="31">
        <v>10340</v>
      </c>
      <c r="Q18" s="31"/>
      <c r="R18" s="31"/>
      <c r="S18" s="31">
        <f>64</f>
        <v>64</v>
      </c>
      <c r="T18" s="31"/>
      <c r="U18" s="11"/>
      <c r="V18" s="11"/>
      <c r="W18" s="11"/>
      <c r="X18" s="11"/>
      <c r="Y18" s="11"/>
      <c r="Z18" s="11"/>
      <c r="AA18" s="11"/>
      <c r="AB18" s="11"/>
    </row>
    <row r="19" spans="1:28" ht="18.75" customHeight="1">
      <c r="A19" s="29">
        <v>4</v>
      </c>
      <c r="B19" s="30" t="s">
        <v>33</v>
      </c>
      <c r="C19" s="31">
        <f t="shared" si="2"/>
        <v>11310</v>
      </c>
      <c r="D19" s="31">
        <v>140</v>
      </c>
      <c r="E19" s="31"/>
      <c r="F19" s="31"/>
      <c r="G19" s="31"/>
      <c r="H19" s="31"/>
      <c r="I19" s="31"/>
      <c r="J19" s="31"/>
      <c r="K19" s="31"/>
      <c r="L19" s="31"/>
      <c r="M19" s="31"/>
      <c r="N19" s="31"/>
      <c r="O19" s="31"/>
      <c r="P19" s="31">
        <f>11170</f>
        <v>11170</v>
      </c>
      <c r="Q19" s="31"/>
      <c r="R19" s="31"/>
      <c r="S19" s="31">
        <f>146</f>
        <v>146</v>
      </c>
      <c r="T19" s="31"/>
      <c r="U19" s="11"/>
      <c r="V19" s="11"/>
      <c r="W19" s="11"/>
      <c r="X19" s="11"/>
      <c r="Y19" s="11"/>
      <c r="Z19" s="11"/>
      <c r="AA19" s="11"/>
      <c r="AB19" s="11"/>
    </row>
    <row r="20" spans="1:28" ht="37.5" customHeight="1">
      <c r="A20" s="29">
        <v>5</v>
      </c>
      <c r="B20" s="30" t="s">
        <v>34</v>
      </c>
      <c r="C20" s="31">
        <f t="shared" si="2"/>
        <v>34848</v>
      </c>
      <c r="D20" s="31">
        <v>50</v>
      </c>
      <c r="E20" s="31"/>
      <c r="F20" s="31"/>
      <c r="G20" s="31"/>
      <c r="H20" s="31"/>
      <c r="I20" s="31"/>
      <c r="J20" s="31"/>
      <c r="K20" s="31"/>
      <c r="L20" s="31">
        <v>10288</v>
      </c>
      <c r="M20" s="31">
        <v>16412</v>
      </c>
      <c r="N20" s="31"/>
      <c r="O20" s="31"/>
      <c r="P20" s="31">
        <v>8098</v>
      </c>
      <c r="Q20" s="31"/>
      <c r="R20" s="31"/>
      <c r="S20" s="31">
        <f>211+5+1415+975</f>
        <v>2606</v>
      </c>
      <c r="T20" s="31">
        <f>262+180</f>
        <v>442</v>
      </c>
      <c r="U20" s="11"/>
      <c r="V20" s="11"/>
      <c r="W20" s="11"/>
      <c r="X20" s="11"/>
      <c r="Y20" s="11"/>
      <c r="Z20" s="11"/>
      <c r="AA20" s="11"/>
      <c r="AB20" s="11"/>
    </row>
    <row r="21" spans="1:28" ht="37.5" customHeight="1">
      <c r="A21" s="29">
        <v>6</v>
      </c>
      <c r="B21" s="30" t="s">
        <v>35</v>
      </c>
      <c r="C21" s="31">
        <f>SUM(D21:M21)+P21+Q21+R21</f>
        <v>72973</v>
      </c>
      <c r="D21" s="32">
        <v>250</v>
      </c>
      <c r="E21" s="32"/>
      <c r="F21" s="32"/>
      <c r="G21" s="32"/>
      <c r="H21" s="32"/>
      <c r="I21" s="32"/>
      <c r="J21" s="32"/>
      <c r="K21" s="32"/>
      <c r="L21" s="32"/>
      <c r="M21" s="32">
        <v>48816</v>
      </c>
      <c r="N21" s="32"/>
      <c r="O21" s="32">
        <v>48816</v>
      </c>
      <c r="P21" s="32">
        <v>23907</v>
      </c>
      <c r="Q21" s="32"/>
      <c r="R21" s="32"/>
      <c r="S21" s="32">
        <f>468+2660</f>
        <v>3128</v>
      </c>
      <c r="T21" s="32">
        <v>3772</v>
      </c>
      <c r="U21" s="11"/>
      <c r="V21" s="11"/>
      <c r="W21" s="11"/>
      <c r="X21" s="11"/>
      <c r="Y21" s="11"/>
      <c r="Z21" s="11"/>
      <c r="AA21" s="11"/>
      <c r="AB21" s="11"/>
    </row>
    <row r="22" spans="1:28" ht="37.5" customHeight="1">
      <c r="A22" s="29">
        <v>7</v>
      </c>
      <c r="B22" s="30" t="s">
        <v>36</v>
      </c>
      <c r="C22" s="31">
        <f t="shared" si="2"/>
        <v>10031</v>
      </c>
      <c r="D22" s="32">
        <f>100</f>
        <v>100</v>
      </c>
      <c r="E22" s="32"/>
      <c r="F22" s="32"/>
      <c r="G22" s="32"/>
      <c r="H22" s="32"/>
      <c r="I22" s="32"/>
      <c r="J22" s="32"/>
      <c r="K22" s="32"/>
      <c r="L22" s="32"/>
      <c r="M22" s="32">
        <v>3422</v>
      </c>
      <c r="N22" s="32"/>
      <c r="O22" s="32"/>
      <c r="P22" s="32">
        <v>6509</v>
      </c>
      <c r="Q22" s="32"/>
      <c r="R22" s="32"/>
      <c r="S22" s="32">
        <f>284+10+141</f>
        <v>435</v>
      </c>
      <c r="T22" s="32">
        <f>29</f>
        <v>29</v>
      </c>
      <c r="U22" s="11"/>
      <c r="V22" s="11"/>
      <c r="W22" s="11"/>
      <c r="X22" s="11"/>
      <c r="Y22" s="11"/>
      <c r="Z22" s="11"/>
      <c r="AA22" s="11"/>
      <c r="AB22" s="11"/>
    </row>
    <row r="23" spans="1:28" ht="18.75" customHeight="1">
      <c r="A23" s="29">
        <v>8</v>
      </c>
      <c r="B23" s="30" t="s">
        <v>37</v>
      </c>
      <c r="C23" s="31">
        <f t="shared" si="2"/>
        <v>336368</v>
      </c>
      <c r="D23" s="32">
        <f>320271+8489</f>
        <v>328760</v>
      </c>
      <c r="E23" s="32"/>
      <c r="F23" s="32"/>
      <c r="G23" s="32"/>
      <c r="H23" s="32"/>
      <c r="I23" s="32"/>
      <c r="J23" s="32"/>
      <c r="K23" s="32"/>
      <c r="L23" s="32"/>
      <c r="M23" s="32"/>
      <c r="N23" s="32"/>
      <c r="O23" s="32"/>
      <c r="P23" s="32">
        <v>7608</v>
      </c>
      <c r="Q23" s="32"/>
      <c r="R23" s="32"/>
      <c r="S23" s="32">
        <f>123+4553</f>
        <v>4676</v>
      </c>
      <c r="T23" s="32">
        <f>10230</f>
        <v>10230</v>
      </c>
      <c r="U23" s="11"/>
      <c r="V23" s="11"/>
      <c r="W23" s="11"/>
      <c r="X23" s="11"/>
      <c r="Y23" s="11"/>
      <c r="Z23" s="11"/>
      <c r="AA23" s="11"/>
      <c r="AB23" s="11"/>
    </row>
    <row r="24" spans="1:28" ht="18.75" customHeight="1">
      <c r="A24" s="29">
        <v>9</v>
      </c>
      <c r="B24" s="30" t="s">
        <v>38</v>
      </c>
      <c r="C24" s="31">
        <f t="shared" si="2"/>
        <v>18861</v>
      </c>
      <c r="D24" s="32">
        <v>843</v>
      </c>
      <c r="E24" s="32"/>
      <c r="F24" s="32"/>
      <c r="G24" s="32"/>
      <c r="H24" s="32"/>
      <c r="I24" s="32"/>
      <c r="J24" s="32"/>
      <c r="K24" s="32"/>
      <c r="L24" s="32"/>
      <c r="M24" s="32">
        <v>7188</v>
      </c>
      <c r="N24" s="32"/>
      <c r="O24" s="32"/>
      <c r="P24" s="32">
        <v>10830</v>
      </c>
      <c r="Q24" s="32"/>
      <c r="R24" s="32"/>
      <c r="S24" s="32">
        <f>79+22</f>
        <v>101</v>
      </c>
      <c r="T24" s="32">
        <f>62+27</f>
        <v>89</v>
      </c>
      <c r="U24" s="11"/>
      <c r="V24" s="11"/>
      <c r="W24" s="11"/>
      <c r="X24" s="11"/>
      <c r="Y24" s="11"/>
      <c r="Z24" s="11"/>
      <c r="AA24" s="11"/>
      <c r="AB24" s="11"/>
    </row>
    <row r="25" spans="1:28" ht="18.75" customHeight="1">
      <c r="A25" s="29">
        <v>10</v>
      </c>
      <c r="B25" s="30" t="s">
        <v>39</v>
      </c>
      <c r="C25" s="31">
        <f t="shared" si="2"/>
        <v>12407</v>
      </c>
      <c r="D25" s="32">
        <f>100</f>
        <v>100</v>
      </c>
      <c r="E25" s="32"/>
      <c r="F25" s="32"/>
      <c r="G25" s="32"/>
      <c r="H25" s="32"/>
      <c r="I25" s="32"/>
      <c r="J25" s="32"/>
      <c r="K25" s="32"/>
      <c r="L25" s="32"/>
      <c r="M25" s="32">
        <v>1342</v>
      </c>
      <c r="N25" s="32"/>
      <c r="O25" s="32"/>
      <c r="P25" s="32">
        <v>10965</v>
      </c>
      <c r="Q25" s="32"/>
      <c r="R25" s="32"/>
      <c r="S25" s="32">
        <f>64+14</f>
        <v>78</v>
      </c>
      <c r="T25" s="32">
        <f>6+40</f>
        <v>46</v>
      </c>
      <c r="U25" s="11"/>
      <c r="V25" s="11"/>
      <c r="W25" s="11"/>
      <c r="X25" s="11"/>
      <c r="Y25" s="11"/>
      <c r="Z25" s="11"/>
      <c r="AA25" s="11"/>
      <c r="AB25" s="11"/>
    </row>
    <row r="26" spans="1:28" ht="18.75" customHeight="1">
      <c r="A26" s="29">
        <v>11</v>
      </c>
      <c r="B26" s="30" t="s">
        <v>129</v>
      </c>
      <c r="C26" s="31">
        <f t="shared" si="2"/>
        <v>67669</v>
      </c>
      <c r="D26" s="32">
        <f>8008+0</f>
        <v>8008</v>
      </c>
      <c r="E26" s="32"/>
      <c r="F26" s="32"/>
      <c r="G26" s="32"/>
      <c r="H26" s="32"/>
      <c r="I26" s="32"/>
      <c r="J26" s="32"/>
      <c r="K26" s="32"/>
      <c r="L26" s="32"/>
      <c r="M26" s="32">
        <v>2102</v>
      </c>
      <c r="N26" s="32"/>
      <c r="O26" s="32"/>
      <c r="P26" s="32">
        <v>6181</v>
      </c>
      <c r="Q26" s="32">
        <v>51378</v>
      </c>
      <c r="R26" s="32"/>
      <c r="S26" s="32">
        <f>109+49+290+41</f>
        <v>489</v>
      </c>
      <c r="T26" s="32">
        <f>1329+132+261</f>
        <v>1722</v>
      </c>
      <c r="U26" s="11"/>
      <c r="V26" s="11"/>
      <c r="W26" s="11"/>
      <c r="X26" s="11"/>
      <c r="Y26" s="11"/>
      <c r="Z26" s="11"/>
      <c r="AA26" s="11"/>
      <c r="AB26" s="11"/>
    </row>
    <row r="27" spans="1:28" ht="18.75" customHeight="1">
      <c r="A27" s="29">
        <v>12</v>
      </c>
      <c r="B27" s="30" t="s">
        <v>41</v>
      </c>
      <c r="C27" s="31">
        <f t="shared" si="2"/>
        <v>14230</v>
      </c>
      <c r="D27" s="32">
        <v>130</v>
      </c>
      <c r="E27" s="32"/>
      <c r="F27" s="32"/>
      <c r="G27" s="32"/>
      <c r="H27" s="32"/>
      <c r="I27" s="32"/>
      <c r="J27" s="32"/>
      <c r="K27" s="32"/>
      <c r="L27" s="32"/>
      <c r="M27" s="32">
        <v>7462</v>
      </c>
      <c r="N27" s="32"/>
      <c r="O27" s="32"/>
      <c r="P27" s="32">
        <v>6638</v>
      </c>
      <c r="Q27" s="32"/>
      <c r="R27" s="32"/>
      <c r="S27" s="32">
        <f>293+13+345</f>
        <v>651</v>
      </c>
      <c r="T27" s="32">
        <f>7</f>
        <v>7</v>
      </c>
      <c r="U27" s="11"/>
      <c r="V27" s="11"/>
      <c r="W27" s="11"/>
      <c r="X27" s="11"/>
      <c r="Y27" s="11"/>
      <c r="Z27" s="11"/>
      <c r="AA27" s="11"/>
      <c r="AB27" s="11"/>
    </row>
    <row r="28" spans="1:28" ht="18.75" customHeight="1">
      <c r="A28" s="29">
        <v>13</v>
      </c>
      <c r="B28" s="30" t="s">
        <v>42</v>
      </c>
      <c r="C28" s="31">
        <f t="shared" si="2"/>
        <v>122219</v>
      </c>
      <c r="D28" s="32">
        <f>8000</f>
        <v>8000</v>
      </c>
      <c r="E28" s="32"/>
      <c r="F28" s="32"/>
      <c r="G28" s="32"/>
      <c r="H28" s="32">
        <v>103993</v>
      </c>
      <c r="I28" s="32"/>
      <c r="J28" s="32"/>
      <c r="K28" s="32"/>
      <c r="L28" s="32"/>
      <c r="M28" s="32"/>
      <c r="N28" s="32"/>
      <c r="O28" s="32"/>
      <c r="P28" s="32">
        <v>10226</v>
      </c>
      <c r="Q28" s="32"/>
      <c r="R28" s="32"/>
      <c r="S28" s="42">
        <f>190+281</f>
        <v>471</v>
      </c>
      <c r="T28" s="32">
        <f>100+2550</f>
        <v>2650</v>
      </c>
      <c r="U28" s="11"/>
      <c r="V28" s="11"/>
      <c r="W28" s="11"/>
      <c r="X28" s="11"/>
      <c r="Y28" s="11"/>
      <c r="Z28" s="11"/>
      <c r="AA28" s="11"/>
      <c r="AB28" s="11"/>
    </row>
    <row r="29" spans="1:28" ht="18.75" customHeight="1">
      <c r="A29" s="29">
        <v>14</v>
      </c>
      <c r="B29" s="30" t="s">
        <v>43</v>
      </c>
      <c r="C29" s="31">
        <f t="shared" si="2"/>
        <v>7528</v>
      </c>
      <c r="D29" s="32">
        <v>250</v>
      </c>
      <c r="E29" s="32"/>
      <c r="F29" s="32"/>
      <c r="G29" s="32"/>
      <c r="H29" s="32"/>
      <c r="I29" s="32"/>
      <c r="J29" s="32"/>
      <c r="K29" s="32"/>
      <c r="L29" s="32"/>
      <c r="M29" s="32"/>
      <c r="N29" s="32"/>
      <c r="O29" s="32"/>
      <c r="P29" s="32">
        <v>7278</v>
      </c>
      <c r="Q29" s="32"/>
      <c r="R29" s="32"/>
      <c r="S29" s="32">
        <f>86</f>
        <v>86</v>
      </c>
      <c r="T29" s="32"/>
      <c r="U29" s="11"/>
      <c r="V29" s="11"/>
      <c r="W29" s="11"/>
      <c r="X29" s="11"/>
      <c r="Y29" s="11"/>
      <c r="Z29" s="11"/>
      <c r="AA29" s="11"/>
      <c r="AB29" s="11"/>
    </row>
    <row r="30" spans="1:28" ht="37.5" customHeight="1">
      <c r="A30" s="29">
        <v>15</v>
      </c>
      <c r="B30" s="30" t="s">
        <v>44</v>
      </c>
      <c r="C30" s="31">
        <f t="shared" si="2"/>
        <v>47626</v>
      </c>
      <c r="D30" s="32">
        <v>15</v>
      </c>
      <c r="E30" s="32"/>
      <c r="F30" s="32"/>
      <c r="G30" s="32"/>
      <c r="H30" s="32"/>
      <c r="I30" s="32"/>
      <c r="J30" s="32"/>
      <c r="K30" s="32"/>
      <c r="L30" s="32"/>
      <c r="M30" s="32">
        <v>36149</v>
      </c>
      <c r="N30" s="32">
        <v>36149</v>
      </c>
      <c r="O30" s="32"/>
      <c r="P30" s="32">
        <f>11462</f>
        <v>11462</v>
      </c>
      <c r="Q30" s="32"/>
      <c r="R30" s="32"/>
      <c r="S30" s="32">
        <f>346+2+3367</f>
        <v>3715</v>
      </c>
      <c r="T30" s="32">
        <f>200+54</f>
        <v>254</v>
      </c>
      <c r="U30" s="11"/>
      <c r="V30" s="11"/>
      <c r="W30" s="11"/>
      <c r="X30" s="11"/>
      <c r="Y30" s="11"/>
      <c r="Z30" s="11"/>
      <c r="AA30" s="11"/>
      <c r="AB30" s="11"/>
    </row>
    <row r="31" spans="1:28" ht="18.75" customHeight="1">
      <c r="A31" s="29">
        <v>16</v>
      </c>
      <c r="B31" s="30" t="s">
        <v>45</v>
      </c>
      <c r="C31" s="31">
        <f t="shared" si="2"/>
        <v>59713</v>
      </c>
      <c r="D31" s="32">
        <f>14740</f>
        <v>14740</v>
      </c>
      <c r="E31" s="32"/>
      <c r="F31" s="32"/>
      <c r="G31" s="32"/>
      <c r="H31" s="32">
        <v>200</v>
      </c>
      <c r="I31" s="32">
        <v>21070</v>
      </c>
      <c r="J31" s="32"/>
      <c r="K31" s="32">
        <v>17739</v>
      </c>
      <c r="L31" s="32"/>
      <c r="M31" s="32"/>
      <c r="N31" s="32"/>
      <c r="O31" s="32"/>
      <c r="P31" s="32">
        <v>5964</v>
      </c>
      <c r="Q31" s="32"/>
      <c r="R31" s="32"/>
      <c r="S31" s="32">
        <f>145+46+15+194+22</f>
        <v>422</v>
      </c>
      <c r="T31" s="32">
        <f>473+45</f>
        <v>518</v>
      </c>
      <c r="U31" s="11"/>
      <c r="V31" s="11"/>
      <c r="W31" s="11"/>
      <c r="X31" s="11"/>
      <c r="Y31" s="11"/>
      <c r="Z31" s="11"/>
      <c r="AA31" s="11"/>
      <c r="AB31" s="11"/>
    </row>
    <row r="32" spans="1:28" ht="18.75" customHeight="1">
      <c r="A32" s="29">
        <v>17</v>
      </c>
      <c r="B32" s="30" t="s">
        <v>46</v>
      </c>
      <c r="C32" s="31">
        <f t="shared" si="2"/>
        <v>18579</v>
      </c>
      <c r="D32" s="32">
        <v>20</v>
      </c>
      <c r="E32" s="32"/>
      <c r="F32" s="32"/>
      <c r="G32" s="32"/>
      <c r="H32" s="32"/>
      <c r="I32" s="32"/>
      <c r="J32" s="32"/>
      <c r="K32" s="32"/>
      <c r="L32" s="32">
        <v>642</v>
      </c>
      <c r="M32" s="32">
        <v>12187</v>
      </c>
      <c r="N32" s="32"/>
      <c r="O32" s="32"/>
      <c r="P32" s="32">
        <v>5730</v>
      </c>
      <c r="Q32" s="32"/>
      <c r="R32" s="32"/>
      <c r="S32" s="32">
        <f>168+274+64</f>
        <v>506</v>
      </c>
      <c r="T32" s="32"/>
      <c r="U32" s="11"/>
      <c r="V32" s="11"/>
      <c r="W32" s="11"/>
      <c r="X32" s="11"/>
      <c r="Y32" s="11"/>
      <c r="Z32" s="11"/>
      <c r="AA32" s="11"/>
      <c r="AB32" s="11"/>
    </row>
    <row r="33" spans="1:28" ht="18.75">
      <c r="A33" s="29">
        <v>18</v>
      </c>
      <c r="B33" s="30" t="s">
        <v>47</v>
      </c>
      <c r="C33" s="31">
        <f t="shared" si="2"/>
        <v>28040</v>
      </c>
      <c r="D33" s="32">
        <f>160</f>
        <v>160</v>
      </c>
      <c r="E33" s="32"/>
      <c r="F33" s="32"/>
      <c r="G33" s="32"/>
      <c r="H33" s="32"/>
      <c r="I33" s="32"/>
      <c r="J33" s="32"/>
      <c r="K33" s="32"/>
      <c r="L33" s="32"/>
      <c r="M33" s="32"/>
      <c r="N33" s="32"/>
      <c r="O33" s="32"/>
      <c r="P33" s="32">
        <v>13880</v>
      </c>
      <c r="Q33" s="32"/>
      <c r="R33" s="32">
        <v>14000</v>
      </c>
      <c r="S33" s="32">
        <f>465+16</f>
        <v>481</v>
      </c>
      <c r="T33" s="32">
        <f>48</f>
        <v>48</v>
      </c>
      <c r="U33" s="11"/>
      <c r="V33" s="11"/>
      <c r="W33" s="11"/>
      <c r="X33" s="11"/>
      <c r="Y33" s="11"/>
      <c r="Z33" s="11"/>
      <c r="AA33" s="11"/>
      <c r="AB33" s="11"/>
    </row>
    <row r="34" spans="1:28" ht="18.75" customHeight="1">
      <c r="A34" s="29">
        <v>19</v>
      </c>
      <c r="B34" s="30" t="s">
        <v>48</v>
      </c>
      <c r="C34" s="31">
        <f t="shared" si="2"/>
        <v>31735</v>
      </c>
      <c r="D34" s="32">
        <v>50</v>
      </c>
      <c r="E34" s="32">
        <v>25955</v>
      </c>
      <c r="F34" s="32"/>
      <c r="G34" s="32"/>
      <c r="H34" s="32"/>
      <c r="I34" s="32"/>
      <c r="J34" s="32"/>
      <c r="K34" s="32"/>
      <c r="L34" s="32"/>
      <c r="M34" s="32"/>
      <c r="N34" s="32"/>
      <c r="O34" s="32"/>
      <c r="P34" s="32">
        <v>5730</v>
      </c>
      <c r="Q34" s="32"/>
      <c r="R34" s="32"/>
      <c r="S34" s="32">
        <f>171+522</f>
        <v>693</v>
      </c>
      <c r="T34" s="32"/>
      <c r="U34" s="11"/>
      <c r="V34" s="11"/>
      <c r="W34" s="11"/>
      <c r="X34" s="11"/>
      <c r="Y34" s="11"/>
      <c r="Z34" s="11"/>
      <c r="AA34" s="11"/>
      <c r="AB34" s="11"/>
    </row>
    <row r="35" spans="1:28" ht="18.75" customHeight="1">
      <c r="A35" s="29">
        <v>20</v>
      </c>
      <c r="B35" s="30" t="s">
        <v>49</v>
      </c>
      <c r="C35" s="31">
        <f t="shared" si="2"/>
        <v>3429</v>
      </c>
      <c r="D35" s="32">
        <v>15</v>
      </c>
      <c r="E35" s="32"/>
      <c r="F35" s="32"/>
      <c r="G35" s="32"/>
      <c r="H35" s="32"/>
      <c r="I35" s="32"/>
      <c r="J35" s="32"/>
      <c r="K35" s="32"/>
      <c r="L35" s="32">
        <v>333</v>
      </c>
      <c r="M35" s="32"/>
      <c r="N35" s="32"/>
      <c r="O35" s="32"/>
      <c r="P35" s="32">
        <v>3081</v>
      </c>
      <c r="Q35" s="32"/>
      <c r="R35" s="32"/>
      <c r="S35" s="32">
        <f>50+33</f>
        <v>83</v>
      </c>
      <c r="T35" s="32">
        <f>127</f>
        <v>127</v>
      </c>
      <c r="U35" s="11"/>
      <c r="V35" s="11"/>
      <c r="W35" s="11"/>
      <c r="X35" s="11"/>
      <c r="Y35" s="11"/>
      <c r="Z35" s="11"/>
      <c r="AA35" s="11"/>
      <c r="AB35" s="11"/>
    </row>
    <row r="36" spans="1:28" ht="18.75" customHeight="1">
      <c r="A36" s="29">
        <v>21</v>
      </c>
      <c r="B36" s="30" t="s">
        <v>50</v>
      </c>
      <c r="C36" s="31">
        <f t="shared" si="2"/>
        <v>1833</v>
      </c>
      <c r="D36" s="32"/>
      <c r="E36" s="32"/>
      <c r="F36" s="32"/>
      <c r="G36" s="32"/>
      <c r="H36" s="32"/>
      <c r="I36" s="32"/>
      <c r="J36" s="32"/>
      <c r="K36" s="32"/>
      <c r="L36" s="32"/>
      <c r="M36" s="32"/>
      <c r="N36" s="32"/>
      <c r="O36" s="32"/>
      <c r="P36" s="32">
        <v>1833</v>
      </c>
      <c r="Q36" s="32"/>
      <c r="R36" s="32"/>
      <c r="S36" s="32">
        <f>126</f>
        <v>126</v>
      </c>
      <c r="T36" s="32"/>
      <c r="U36" s="11"/>
      <c r="V36" s="11"/>
      <c r="W36" s="11"/>
      <c r="X36" s="11"/>
      <c r="Y36" s="11"/>
      <c r="Z36" s="11"/>
      <c r="AA36" s="11"/>
      <c r="AB36" s="11"/>
    </row>
    <row r="37" spans="1:28" ht="33">
      <c r="A37" s="29">
        <v>22</v>
      </c>
      <c r="B37" s="30" t="s">
        <v>123</v>
      </c>
      <c r="C37" s="31">
        <f t="shared" si="2"/>
        <v>1057</v>
      </c>
      <c r="D37" s="32"/>
      <c r="E37" s="32"/>
      <c r="F37" s="32"/>
      <c r="G37" s="32"/>
      <c r="H37" s="32"/>
      <c r="I37" s="32"/>
      <c r="J37" s="32"/>
      <c r="K37" s="32"/>
      <c r="L37" s="32"/>
      <c r="M37" s="32">
        <v>643</v>
      </c>
      <c r="N37" s="32"/>
      <c r="O37" s="32"/>
      <c r="P37" s="32">
        <v>414</v>
      </c>
      <c r="Q37" s="32"/>
      <c r="R37" s="32"/>
      <c r="S37" s="32">
        <f>10+12</f>
        <v>22</v>
      </c>
      <c r="T37" s="32"/>
      <c r="U37" s="11"/>
      <c r="V37" s="11"/>
      <c r="W37" s="11"/>
      <c r="X37" s="11"/>
      <c r="Y37" s="11"/>
      <c r="Z37" s="11"/>
      <c r="AA37" s="11"/>
      <c r="AB37" s="11"/>
    </row>
    <row r="38" spans="1:28" ht="18.75" customHeight="1">
      <c r="A38" s="29">
        <v>23</v>
      </c>
      <c r="B38" s="30" t="s">
        <v>51</v>
      </c>
      <c r="C38" s="31">
        <f t="shared" si="2"/>
        <v>4022</v>
      </c>
      <c r="D38" s="32"/>
      <c r="E38" s="32"/>
      <c r="F38" s="32"/>
      <c r="G38" s="32"/>
      <c r="H38" s="32"/>
      <c r="I38" s="32"/>
      <c r="J38" s="32">
        <v>4022</v>
      </c>
      <c r="K38" s="32"/>
      <c r="L38" s="32"/>
      <c r="M38" s="32"/>
      <c r="N38" s="32"/>
      <c r="O38" s="32"/>
      <c r="P38" s="32"/>
      <c r="Q38" s="32"/>
      <c r="R38" s="32"/>
      <c r="S38" s="32"/>
      <c r="T38" s="32"/>
      <c r="U38" s="11"/>
      <c r="V38" s="11"/>
      <c r="W38" s="11"/>
      <c r="X38" s="11"/>
      <c r="Y38" s="11"/>
      <c r="Z38" s="11"/>
      <c r="AA38" s="11"/>
      <c r="AB38" s="11"/>
    </row>
    <row r="39" spans="1:28" ht="18.75" customHeight="1">
      <c r="A39" s="29">
        <v>24</v>
      </c>
      <c r="B39" s="30" t="s">
        <v>52</v>
      </c>
      <c r="C39" s="31">
        <f t="shared" si="2"/>
        <v>5327</v>
      </c>
      <c r="D39" s="32">
        <v>28</v>
      </c>
      <c r="E39" s="32"/>
      <c r="F39" s="32"/>
      <c r="G39" s="32"/>
      <c r="H39" s="32"/>
      <c r="I39" s="32"/>
      <c r="J39" s="32"/>
      <c r="K39" s="32"/>
      <c r="L39" s="32"/>
      <c r="M39" s="32"/>
      <c r="N39" s="32"/>
      <c r="O39" s="32"/>
      <c r="P39" s="32">
        <v>5299</v>
      </c>
      <c r="Q39" s="32"/>
      <c r="R39" s="32"/>
      <c r="S39" s="32">
        <f>256+3</f>
        <v>259</v>
      </c>
      <c r="T39" s="32"/>
      <c r="U39" s="11"/>
      <c r="V39" s="11"/>
      <c r="W39" s="11"/>
      <c r="X39" s="11"/>
      <c r="Y39" s="11"/>
      <c r="Z39" s="11"/>
      <c r="AA39" s="11"/>
      <c r="AB39" s="11"/>
    </row>
    <row r="40" spans="1:28" ht="33">
      <c r="A40" s="29">
        <v>25</v>
      </c>
      <c r="B40" s="30" t="s">
        <v>106</v>
      </c>
      <c r="C40" s="31">
        <f t="shared" si="2"/>
        <v>7988</v>
      </c>
      <c r="D40" s="32">
        <f>390+25</f>
        <v>415</v>
      </c>
      <c r="E40" s="32"/>
      <c r="F40" s="32"/>
      <c r="G40" s="32"/>
      <c r="H40" s="32"/>
      <c r="I40" s="32">
        <f>1722</f>
        <v>1722</v>
      </c>
      <c r="J40" s="32"/>
      <c r="K40" s="32"/>
      <c r="L40" s="32"/>
      <c r="M40" s="32"/>
      <c r="N40" s="32"/>
      <c r="O40" s="32"/>
      <c r="P40" s="32">
        <v>5851</v>
      </c>
      <c r="Q40" s="32"/>
      <c r="R40" s="32"/>
      <c r="S40" s="32">
        <f>264+2+94</f>
        <v>360</v>
      </c>
      <c r="T40" s="32"/>
      <c r="U40" s="11"/>
      <c r="V40" s="11"/>
      <c r="W40" s="11"/>
      <c r="X40" s="11"/>
      <c r="Y40" s="11"/>
      <c r="Z40" s="11"/>
      <c r="AA40" s="11"/>
      <c r="AB40" s="11"/>
    </row>
    <row r="41" spans="1:28" ht="18.75" customHeight="1">
      <c r="A41" s="29">
        <v>26</v>
      </c>
      <c r="B41" s="30" t="s">
        <v>53</v>
      </c>
      <c r="C41" s="31">
        <f t="shared" si="2"/>
        <v>4905</v>
      </c>
      <c r="D41" s="32">
        <v>50</v>
      </c>
      <c r="E41" s="32"/>
      <c r="F41" s="32"/>
      <c r="G41" s="32"/>
      <c r="H41" s="32"/>
      <c r="I41" s="32"/>
      <c r="J41" s="32"/>
      <c r="K41" s="32"/>
      <c r="L41" s="32"/>
      <c r="M41" s="32"/>
      <c r="N41" s="32"/>
      <c r="O41" s="32"/>
      <c r="P41" s="32">
        <v>4855</v>
      </c>
      <c r="Q41" s="32"/>
      <c r="R41" s="32"/>
      <c r="S41" s="32">
        <f>194+5</f>
        <v>199</v>
      </c>
      <c r="T41" s="32"/>
      <c r="U41" s="11"/>
      <c r="V41" s="11"/>
      <c r="W41" s="11"/>
      <c r="X41" s="11"/>
      <c r="Y41" s="11"/>
      <c r="Z41" s="11"/>
      <c r="AA41" s="11"/>
      <c r="AB41" s="11"/>
    </row>
    <row r="42" spans="1:28" ht="18.75" customHeight="1">
      <c r="A42" s="29">
        <v>27</v>
      </c>
      <c r="B42" s="30" t="s">
        <v>54</v>
      </c>
      <c r="C42" s="31">
        <f t="shared" si="2"/>
        <v>4318</v>
      </c>
      <c r="D42" s="32"/>
      <c r="E42" s="32"/>
      <c r="F42" s="32"/>
      <c r="G42" s="32"/>
      <c r="H42" s="32"/>
      <c r="I42" s="32"/>
      <c r="J42" s="32"/>
      <c r="K42" s="32"/>
      <c r="L42" s="32"/>
      <c r="M42" s="32"/>
      <c r="N42" s="32"/>
      <c r="O42" s="32"/>
      <c r="P42" s="32">
        <v>4318</v>
      </c>
      <c r="Q42" s="32"/>
      <c r="R42" s="32"/>
      <c r="S42" s="32">
        <v>212</v>
      </c>
      <c r="T42" s="32"/>
      <c r="U42" s="11"/>
      <c r="V42" s="11"/>
      <c r="W42" s="11"/>
      <c r="X42" s="11"/>
      <c r="Y42" s="11"/>
      <c r="Z42" s="11"/>
      <c r="AA42" s="11"/>
      <c r="AB42" s="11"/>
    </row>
    <row r="43" spans="1:28" ht="18.75" customHeight="1">
      <c r="A43" s="29">
        <v>28</v>
      </c>
      <c r="B43" s="30" t="s">
        <v>55</v>
      </c>
      <c r="C43" s="31">
        <f t="shared" si="2"/>
        <v>2777</v>
      </c>
      <c r="D43" s="32"/>
      <c r="E43" s="32"/>
      <c r="F43" s="32"/>
      <c r="G43" s="32"/>
      <c r="H43" s="32"/>
      <c r="I43" s="32"/>
      <c r="J43" s="32"/>
      <c r="K43" s="32"/>
      <c r="L43" s="32"/>
      <c r="M43" s="32"/>
      <c r="N43" s="32"/>
      <c r="O43" s="32"/>
      <c r="P43" s="32">
        <v>2777</v>
      </c>
      <c r="Q43" s="32"/>
      <c r="R43" s="32"/>
      <c r="S43" s="32">
        <v>116</v>
      </c>
      <c r="T43" s="32"/>
      <c r="U43" s="11"/>
      <c r="V43" s="11"/>
      <c r="W43" s="11"/>
      <c r="X43" s="11"/>
      <c r="Y43" s="11"/>
      <c r="Z43" s="11"/>
      <c r="AA43" s="11"/>
      <c r="AB43" s="11"/>
    </row>
    <row r="44" spans="1:28" ht="18.75" customHeight="1">
      <c r="A44" s="29">
        <v>29</v>
      </c>
      <c r="B44" s="30" t="s">
        <v>56</v>
      </c>
      <c r="C44" s="31">
        <f t="shared" si="2"/>
        <v>22795</v>
      </c>
      <c r="D44" s="32">
        <f>22795</f>
        <v>22795</v>
      </c>
      <c r="E44" s="32"/>
      <c r="F44" s="32"/>
      <c r="G44" s="32"/>
      <c r="H44" s="32"/>
      <c r="I44" s="32"/>
      <c r="J44" s="32"/>
      <c r="K44" s="32"/>
      <c r="L44" s="32"/>
      <c r="M44" s="32"/>
      <c r="N44" s="32"/>
      <c r="O44" s="32"/>
      <c r="P44" s="32"/>
      <c r="Q44" s="32"/>
      <c r="R44" s="32"/>
      <c r="S44" s="32">
        <v>328</v>
      </c>
      <c r="T44" s="32">
        <f>3764</f>
        <v>3764</v>
      </c>
      <c r="U44" s="11"/>
      <c r="V44" s="11"/>
      <c r="W44" s="11"/>
      <c r="X44" s="11"/>
      <c r="Y44" s="11"/>
      <c r="Z44" s="11"/>
      <c r="AA44" s="11"/>
      <c r="AB44" s="11"/>
    </row>
    <row r="45" spans="1:28" ht="18.75" customHeight="1">
      <c r="A45" s="29">
        <v>30</v>
      </c>
      <c r="B45" s="30" t="s">
        <v>57</v>
      </c>
      <c r="C45" s="31">
        <f t="shared" si="2"/>
        <v>12281</v>
      </c>
      <c r="D45" s="32">
        <v>12281</v>
      </c>
      <c r="E45" s="32"/>
      <c r="F45" s="32"/>
      <c r="G45" s="32"/>
      <c r="H45" s="32"/>
      <c r="I45" s="32"/>
      <c r="J45" s="32"/>
      <c r="K45" s="32"/>
      <c r="L45" s="32"/>
      <c r="M45" s="32"/>
      <c r="N45" s="32"/>
      <c r="O45" s="32"/>
      <c r="P45" s="32"/>
      <c r="Q45" s="32"/>
      <c r="R45" s="32"/>
      <c r="S45" s="32">
        <f>73</f>
        <v>73</v>
      </c>
      <c r="T45" s="32"/>
      <c r="U45" s="11"/>
      <c r="V45" s="11"/>
      <c r="W45" s="11"/>
      <c r="X45" s="11"/>
      <c r="Y45" s="11"/>
      <c r="Z45" s="11"/>
      <c r="AA45" s="11"/>
      <c r="AB45" s="11"/>
    </row>
    <row r="46" spans="1:28" ht="18.75" customHeight="1">
      <c r="A46" s="29">
        <v>31</v>
      </c>
      <c r="B46" s="30" t="s">
        <v>58</v>
      </c>
      <c r="C46" s="31">
        <f t="shared" si="2"/>
        <v>33900</v>
      </c>
      <c r="D46" s="32"/>
      <c r="E46" s="32"/>
      <c r="F46" s="32">
        <v>33900</v>
      </c>
      <c r="G46" s="32"/>
      <c r="H46" s="32"/>
      <c r="I46" s="32"/>
      <c r="J46" s="32"/>
      <c r="K46" s="32"/>
      <c r="L46" s="32"/>
      <c r="M46" s="32"/>
      <c r="N46" s="32"/>
      <c r="O46" s="32"/>
      <c r="P46" s="32"/>
      <c r="Q46" s="32"/>
      <c r="R46" s="32"/>
      <c r="S46" s="32"/>
      <c r="T46" s="32"/>
      <c r="U46" s="11"/>
      <c r="V46" s="11"/>
      <c r="W46" s="11"/>
      <c r="X46" s="11"/>
      <c r="Y46" s="11"/>
      <c r="Z46" s="11"/>
      <c r="AA46" s="11"/>
      <c r="AB46" s="11"/>
    </row>
    <row r="47" spans="1:28" ht="18.75" customHeight="1">
      <c r="A47" s="29">
        <v>32</v>
      </c>
      <c r="B47" s="30" t="s">
        <v>59</v>
      </c>
      <c r="C47" s="31">
        <f t="shared" si="2"/>
        <v>3500</v>
      </c>
      <c r="D47" s="32"/>
      <c r="E47" s="32"/>
      <c r="F47" s="32">
        <v>3500</v>
      </c>
      <c r="G47" s="32"/>
      <c r="H47" s="32"/>
      <c r="I47" s="32"/>
      <c r="J47" s="32"/>
      <c r="K47" s="32"/>
      <c r="L47" s="32"/>
      <c r="M47" s="32"/>
      <c r="N47" s="32"/>
      <c r="O47" s="32"/>
      <c r="P47" s="32"/>
      <c r="Q47" s="32"/>
      <c r="R47" s="32"/>
      <c r="S47" s="32"/>
      <c r="T47" s="32"/>
      <c r="U47" s="11"/>
      <c r="V47" s="11"/>
      <c r="W47" s="11"/>
      <c r="X47" s="11"/>
      <c r="Y47" s="11"/>
      <c r="Z47" s="11"/>
      <c r="AA47" s="11"/>
      <c r="AB47" s="11"/>
    </row>
    <row r="48" spans="1:28" ht="18.75" customHeight="1">
      <c r="A48" s="29">
        <v>33</v>
      </c>
      <c r="B48" s="30" t="s">
        <v>60</v>
      </c>
      <c r="C48" s="31">
        <f t="shared" si="2"/>
        <v>4788</v>
      </c>
      <c r="D48" s="32"/>
      <c r="E48" s="32"/>
      <c r="F48" s="32"/>
      <c r="G48" s="32">
        <v>3955</v>
      </c>
      <c r="H48" s="32"/>
      <c r="I48" s="32"/>
      <c r="J48" s="32"/>
      <c r="K48" s="32"/>
      <c r="L48" s="32">
        <v>833</v>
      </c>
      <c r="M48" s="32"/>
      <c r="N48" s="32"/>
      <c r="O48" s="32"/>
      <c r="P48" s="32"/>
      <c r="Q48" s="32"/>
      <c r="R48" s="32"/>
      <c r="S48" s="32">
        <v>83</v>
      </c>
      <c r="T48" s="32"/>
      <c r="U48" s="11"/>
      <c r="V48" s="11"/>
      <c r="W48" s="11"/>
      <c r="X48" s="11"/>
      <c r="Y48" s="11"/>
      <c r="Z48" s="11"/>
      <c r="AA48" s="11"/>
      <c r="AB48" s="11"/>
    </row>
    <row r="49" spans="1:28" ht="37.5" customHeight="1">
      <c r="A49" s="29">
        <v>34</v>
      </c>
      <c r="B49" s="30" t="s">
        <v>61</v>
      </c>
      <c r="C49" s="31">
        <f t="shared" si="2"/>
        <v>2684</v>
      </c>
      <c r="D49" s="32"/>
      <c r="E49" s="32"/>
      <c r="F49" s="32"/>
      <c r="G49" s="32"/>
      <c r="H49" s="32"/>
      <c r="I49" s="32">
        <v>2684</v>
      </c>
      <c r="J49" s="32"/>
      <c r="K49" s="32"/>
      <c r="L49" s="32"/>
      <c r="M49" s="32"/>
      <c r="N49" s="32"/>
      <c r="O49" s="32"/>
      <c r="P49" s="32"/>
      <c r="Q49" s="32"/>
      <c r="R49" s="32"/>
      <c r="S49" s="32">
        <f>14</f>
        <v>14</v>
      </c>
      <c r="T49" s="32"/>
      <c r="U49" s="11"/>
      <c r="V49" s="11"/>
      <c r="W49" s="11"/>
      <c r="X49" s="11"/>
      <c r="Y49" s="11"/>
      <c r="Z49" s="11"/>
      <c r="AA49" s="11"/>
      <c r="AB49" s="11"/>
    </row>
    <row r="50" spans="1:28" ht="18.75" customHeight="1">
      <c r="A50" s="29">
        <v>35</v>
      </c>
      <c r="B50" s="30" t="s">
        <v>63</v>
      </c>
      <c r="C50" s="31">
        <f t="shared" ref="C50:C53" si="5">SUM(D50:M50)+P50+Q50+R50</f>
        <v>748</v>
      </c>
      <c r="D50" s="32"/>
      <c r="E50" s="32"/>
      <c r="F50" s="32"/>
      <c r="G50" s="32"/>
      <c r="H50" s="32"/>
      <c r="I50" s="32"/>
      <c r="J50" s="32"/>
      <c r="K50" s="32"/>
      <c r="L50" s="32"/>
      <c r="M50" s="32"/>
      <c r="N50" s="32"/>
      <c r="O50" s="32"/>
      <c r="P50" s="32">
        <v>748</v>
      </c>
      <c r="Q50" s="32"/>
      <c r="R50" s="32"/>
      <c r="S50" s="32">
        <f>10</f>
        <v>10</v>
      </c>
      <c r="T50" s="32"/>
      <c r="U50" s="11"/>
      <c r="V50" s="11"/>
      <c r="W50" s="11"/>
      <c r="X50" s="11"/>
      <c r="Y50" s="11"/>
      <c r="Z50" s="11"/>
      <c r="AA50" s="11"/>
      <c r="AB50" s="11"/>
    </row>
    <row r="51" spans="1:28" ht="18.75" customHeight="1">
      <c r="A51" s="29">
        <v>36</v>
      </c>
      <c r="B51" s="30" t="s">
        <v>64</v>
      </c>
      <c r="C51" s="31">
        <f t="shared" si="5"/>
        <v>3699</v>
      </c>
      <c r="D51" s="32">
        <v>2</v>
      </c>
      <c r="E51" s="32"/>
      <c r="F51" s="32"/>
      <c r="G51" s="32"/>
      <c r="H51" s="32"/>
      <c r="I51" s="32"/>
      <c r="J51" s="32"/>
      <c r="K51" s="32"/>
      <c r="L51" s="32"/>
      <c r="M51" s="32"/>
      <c r="N51" s="32"/>
      <c r="O51" s="32"/>
      <c r="P51" s="32">
        <v>3697</v>
      </c>
      <c r="Q51" s="32"/>
      <c r="R51" s="32"/>
      <c r="S51" s="32">
        <f>26</f>
        <v>26</v>
      </c>
      <c r="T51" s="32"/>
      <c r="U51" s="11"/>
      <c r="V51" s="11"/>
      <c r="W51" s="11"/>
      <c r="X51" s="11"/>
      <c r="Y51" s="11"/>
      <c r="Z51" s="11"/>
      <c r="AA51" s="11"/>
      <c r="AB51" s="11"/>
    </row>
    <row r="52" spans="1:28" ht="18.75" customHeight="1">
      <c r="A52" s="29">
        <v>37</v>
      </c>
      <c r="B52" s="30" t="s">
        <v>65</v>
      </c>
      <c r="C52" s="31">
        <f t="shared" si="5"/>
        <v>914</v>
      </c>
      <c r="D52" s="32"/>
      <c r="E52" s="32"/>
      <c r="F52" s="32"/>
      <c r="G52" s="32"/>
      <c r="H52" s="32"/>
      <c r="I52" s="32"/>
      <c r="J52" s="32"/>
      <c r="K52" s="32"/>
      <c r="L52" s="32"/>
      <c r="M52" s="32"/>
      <c r="N52" s="32"/>
      <c r="O52" s="32"/>
      <c r="P52" s="32">
        <v>914</v>
      </c>
      <c r="Q52" s="32"/>
      <c r="R52" s="32"/>
      <c r="S52" s="32">
        <v>14</v>
      </c>
      <c r="T52" s="32"/>
      <c r="U52" s="11"/>
      <c r="V52" s="11"/>
      <c r="W52" s="11"/>
      <c r="X52" s="11"/>
      <c r="Y52" s="11"/>
      <c r="Z52" s="11"/>
      <c r="AA52" s="11"/>
      <c r="AB52" s="11"/>
    </row>
    <row r="53" spans="1:28" ht="18.75" customHeight="1">
      <c r="A53" s="29">
        <v>38</v>
      </c>
      <c r="B53" s="30" t="s">
        <v>74</v>
      </c>
      <c r="C53" s="31">
        <f t="shared" si="5"/>
        <v>396</v>
      </c>
      <c r="D53" s="32"/>
      <c r="E53" s="32"/>
      <c r="F53" s="32"/>
      <c r="G53" s="32"/>
      <c r="H53" s="32"/>
      <c r="I53" s="32"/>
      <c r="J53" s="32"/>
      <c r="K53" s="32"/>
      <c r="L53" s="32"/>
      <c r="M53" s="32"/>
      <c r="N53" s="32"/>
      <c r="O53" s="32"/>
      <c r="P53" s="32">
        <v>396</v>
      </c>
      <c r="Q53" s="32"/>
      <c r="R53" s="32"/>
      <c r="S53" s="32">
        <v>7</v>
      </c>
      <c r="T53" s="32"/>
      <c r="U53" s="11"/>
      <c r="V53" s="11"/>
      <c r="W53" s="11"/>
      <c r="X53" s="11"/>
      <c r="Y53" s="11"/>
      <c r="Z53" s="11"/>
      <c r="AA53" s="11"/>
      <c r="AB53" s="11"/>
    </row>
    <row r="54" spans="1:28" ht="18.75" customHeight="1">
      <c r="A54" s="29">
        <v>39</v>
      </c>
      <c r="B54" s="30" t="s">
        <v>62</v>
      </c>
      <c r="C54" s="31">
        <f t="shared" si="2"/>
        <v>1477</v>
      </c>
      <c r="D54" s="32"/>
      <c r="E54" s="32"/>
      <c r="F54" s="32"/>
      <c r="G54" s="32"/>
      <c r="H54" s="32"/>
      <c r="I54" s="32"/>
      <c r="J54" s="32"/>
      <c r="K54" s="32"/>
      <c r="L54" s="32"/>
      <c r="M54" s="32"/>
      <c r="N54" s="32"/>
      <c r="O54" s="32"/>
      <c r="P54" s="32">
        <v>1477</v>
      </c>
      <c r="Q54" s="32"/>
      <c r="R54" s="32"/>
      <c r="S54" s="42">
        <v>105</v>
      </c>
      <c r="T54" s="32"/>
      <c r="U54" s="11"/>
      <c r="V54" s="11"/>
      <c r="W54" s="11"/>
      <c r="X54" s="11"/>
      <c r="Y54" s="11"/>
      <c r="Z54" s="11"/>
      <c r="AA54" s="11"/>
      <c r="AB54" s="11"/>
    </row>
    <row r="55" spans="1:28" ht="18.75" customHeight="1">
      <c r="A55" s="29">
        <v>40</v>
      </c>
      <c r="B55" s="30" t="s">
        <v>67</v>
      </c>
      <c r="C55" s="31">
        <f>SUM(D55:M55)+P55+Q55+R55</f>
        <v>2861</v>
      </c>
      <c r="D55" s="32"/>
      <c r="E55" s="32">
        <v>2731</v>
      </c>
      <c r="F55" s="32"/>
      <c r="G55" s="32"/>
      <c r="H55" s="32"/>
      <c r="I55" s="32"/>
      <c r="J55" s="32"/>
      <c r="K55" s="32"/>
      <c r="L55" s="32"/>
      <c r="M55" s="32"/>
      <c r="N55" s="32"/>
      <c r="O55" s="32"/>
      <c r="P55" s="32">
        <v>130</v>
      </c>
      <c r="Q55" s="32"/>
      <c r="R55" s="32"/>
      <c r="S55" s="32">
        <v>12</v>
      </c>
      <c r="T55" s="32"/>
      <c r="U55" s="11"/>
      <c r="V55" s="11"/>
      <c r="W55" s="11"/>
      <c r="X55" s="11"/>
      <c r="Y55" s="11"/>
      <c r="Z55" s="11"/>
      <c r="AA55" s="11"/>
      <c r="AB55" s="11"/>
    </row>
    <row r="56" spans="1:28" ht="18.75" customHeight="1">
      <c r="A56" s="29">
        <v>41</v>
      </c>
      <c r="B56" s="30" t="s">
        <v>66</v>
      </c>
      <c r="C56" s="31">
        <f>SUM(D56:M56)+P56+Q56+R56</f>
        <v>1884</v>
      </c>
      <c r="D56" s="32"/>
      <c r="E56" s="32"/>
      <c r="F56" s="32"/>
      <c r="G56" s="32"/>
      <c r="H56" s="32"/>
      <c r="I56" s="32"/>
      <c r="J56" s="32"/>
      <c r="K56" s="32"/>
      <c r="L56" s="32"/>
      <c r="M56" s="32"/>
      <c r="N56" s="32"/>
      <c r="O56" s="32"/>
      <c r="P56" s="32">
        <v>1884</v>
      </c>
      <c r="Q56" s="32"/>
      <c r="R56" s="32"/>
      <c r="S56" s="32">
        <v>109</v>
      </c>
      <c r="T56" s="32"/>
      <c r="U56" s="11"/>
      <c r="V56" s="11"/>
      <c r="W56" s="11"/>
      <c r="X56" s="11"/>
      <c r="Y56" s="11"/>
      <c r="Z56" s="11"/>
      <c r="AA56" s="11"/>
      <c r="AB56" s="11"/>
    </row>
    <row r="57" spans="1:28" ht="18.75" customHeight="1">
      <c r="A57" s="29">
        <v>42</v>
      </c>
      <c r="B57" s="30" t="s">
        <v>68</v>
      </c>
      <c r="C57" s="31">
        <f t="shared" si="2"/>
        <v>727</v>
      </c>
      <c r="D57" s="32"/>
      <c r="E57" s="32"/>
      <c r="F57" s="32"/>
      <c r="G57" s="32"/>
      <c r="H57" s="32"/>
      <c r="I57" s="32"/>
      <c r="J57" s="32"/>
      <c r="K57" s="32"/>
      <c r="L57" s="32"/>
      <c r="M57" s="32"/>
      <c r="N57" s="32"/>
      <c r="O57" s="32"/>
      <c r="P57" s="32">
        <v>727</v>
      </c>
      <c r="Q57" s="32"/>
      <c r="R57" s="32"/>
      <c r="S57" s="42"/>
      <c r="T57" s="32"/>
      <c r="U57" s="11"/>
      <c r="V57" s="11"/>
      <c r="W57" s="11"/>
      <c r="X57" s="11"/>
      <c r="Y57" s="11"/>
      <c r="Z57" s="11"/>
      <c r="AA57" s="11"/>
      <c r="AB57" s="11"/>
    </row>
    <row r="58" spans="1:28" ht="18.75" customHeight="1">
      <c r="A58" s="29">
        <v>43</v>
      </c>
      <c r="B58" s="30" t="s">
        <v>69</v>
      </c>
      <c r="C58" s="31">
        <f t="shared" si="2"/>
        <v>263</v>
      </c>
      <c r="D58" s="32"/>
      <c r="E58" s="32"/>
      <c r="F58" s="32"/>
      <c r="G58" s="32"/>
      <c r="H58" s="32"/>
      <c r="I58" s="32"/>
      <c r="J58" s="32"/>
      <c r="K58" s="32"/>
      <c r="L58" s="32"/>
      <c r="M58" s="32"/>
      <c r="N58" s="32"/>
      <c r="O58" s="32"/>
      <c r="P58" s="32">
        <v>263</v>
      </c>
      <c r="Q58" s="32"/>
      <c r="R58" s="32"/>
      <c r="S58" s="42"/>
      <c r="T58" s="32"/>
      <c r="U58" s="11"/>
      <c r="V58" s="11"/>
      <c r="W58" s="11"/>
      <c r="X58" s="11"/>
      <c r="Y58" s="11"/>
      <c r="Z58" s="11"/>
      <c r="AA58" s="11"/>
      <c r="AB58" s="11"/>
    </row>
    <row r="59" spans="1:28" ht="18.75" customHeight="1">
      <c r="A59" s="29">
        <v>44</v>
      </c>
      <c r="B59" s="30" t="s">
        <v>70</v>
      </c>
      <c r="C59" s="31">
        <f t="shared" si="2"/>
        <v>668</v>
      </c>
      <c r="D59" s="32"/>
      <c r="E59" s="32"/>
      <c r="F59" s="32"/>
      <c r="G59" s="32"/>
      <c r="H59" s="32"/>
      <c r="I59" s="32"/>
      <c r="J59" s="32"/>
      <c r="K59" s="32"/>
      <c r="L59" s="32"/>
      <c r="M59" s="32"/>
      <c r="N59" s="32"/>
      <c r="O59" s="32"/>
      <c r="P59" s="32">
        <v>668</v>
      </c>
      <c r="Q59" s="32"/>
      <c r="R59" s="32"/>
      <c r="S59" s="42"/>
      <c r="T59" s="32"/>
      <c r="U59" s="11"/>
      <c r="V59" s="11"/>
      <c r="W59" s="11"/>
      <c r="X59" s="11"/>
      <c r="Y59" s="11"/>
      <c r="Z59" s="11"/>
      <c r="AA59" s="11"/>
      <c r="AB59" s="11"/>
    </row>
    <row r="60" spans="1:28" ht="18.75" customHeight="1">
      <c r="A60" s="29">
        <v>45</v>
      </c>
      <c r="B60" s="30" t="s">
        <v>71</v>
      </c>
      <c r="C60" s="31">
        <f t="shared" si="2"/>
        <v>865</v>
      </c>
      <c r="D60" s="32"/>
      <c r="E60" s="32"/>
      <c r="F60" s="32"/>
      <c r="G60" s="32"/>
      <c r="H60" s="32"/>
      <c r="I60" s="32"/>
      <c r="J60" s="32"/>
      <c r="K60" s="32"/>
      <c r="L60" s="32"/>
      <c r="M60" s="32"/>
      <c r="N60" s="32"/>
      <c r="O60" s="32"/>
      <c r="P60" s="32">
        <v>865</v>
      </c>
      <c r="Q60" s="32"/>
      <c r="R60" s="32"/>
      <c r="S60" s="42"/>
      <c r="T60" s="32"/>
      <c r="U60" s="11"/>
      <c r="V60" s="11"/>
      <c r="W60" s="11"/>
      <c r="X60" s="11"/>
      <c r="Y60" s="11"/>
      <c r="Z60" s="11"/>
      <c r="AA60" s="11"/>
      <c r="AB60" s="11"/>
    </row>
    <row r="61" spans="1:28" ht="18.75" customHeight="1">
      <c r="A61" s="29">
        <v>46</v>
      </c>
      <c r="B61" s="30" t="s">
        <v>72</v>
      </c>
      <c r="C61" s="31">
        <f t="shared" si="2"/>
        <v>451</v>
      </c>
      <c r="D61" s="32"/>
      <c r="E61" s="32"/>
      <c r="F61" s="32"/>
      <c r="G61" s="32"/>
      <c r="H61" s="32"/>
      <c r="I61" s="32"/>
      <c r="J61" s="32"/>
      <c r="K61" s="32"/>
      <c r="L61" s="32"/>
      <c r="M61" s="32"/>
      <c r="N61" s="32"/>
      <c r="O61" s="32"/>
      <c r="P61" s="32">
        <v>451</v>
      </c>
      <c r="Q61" s="32"/>
      <c r="R61" s="32"/>
      <c r="S61" s="42">
        <v>23</v>
      </c>
      <c r="T61" s="32"/>
      <c r="U61" s="11"/>
      <c r="V61" s="11"/>
      <c r="W61" s="11"/>
      <c r="X61" s="11"/>
      <c r="Y61" s="11"/>
      <c r="Z61" s="11"/>
      <c r="AA61" s="11"/>
      <c r="AB61" s="11"/>
    </row>
    <row r="62" spans="1:28" ht="18.75" customHeight="1">
      <c r="A62" s="29">
        <v>47</v>
      </c>
      <c r="B62" s="30" t="s">
        <v>73</v>
      </c>
      <c r="C62" s="31">
        <f t="shared" si="2"/>
        <v>336</v>
      </c>
      <c r="D62" s="32"/>
      <c r="E62" s="32"/>
      <c r="F62" s="32"/>
      <c r="G62" s="32"/>
      <c r="H62" s="32"/>
      <c r="I62" s="32"/>
      <c r="J62" s="32"/>
      <c r="K62" s="32"/>
      <c r="L62" s="32"/>
      <c r="M62" s="32"/>
      <c r="N62" s="32"/>
      <c r="O62" s="32"/>
      <c r="P62" s="32">
        <v>336</v>
      </c>
      <c r="Q62" s="32"/>
      <c r="R62" s="32"/>
      <c r="S62" s="42"/>
      <c r="T62" s="32"/>
      <c r="U62" s="11"/>
      <c r="V62" s="11"/>
      <c r="W62" s="11"/>
      <c r="X62" s="11"/>
      <c r="Y62" s="11"/>
      <c r="Z62" s="11"/>
      <c r="AA62" s="11"/>
      <c r="AB62" s="11"/>
    </row>
    <row r="63" spans="1:28" ht="18.75" customHeight="1">
      <c r="A63" s="29">
        <v>48</v>
      </c>
      <c r="B63" s="30" t="s">
        <v>75</v>
      </c>
      <c r="C63" s="31">
        <f t="shared" si="2"/>
        <v>324</v>
      </c>
      <c r="D63" s="32"/>
      <c r="E63" s="32"/>
      <c r="F63" s="32"/>
      <c r="G63" s="32"/>
      <c r="H63" s="32"/>
      <c r="I63" s="32"/>
      <c r="J63" s="32"/>
      <c r="K63" s="32"/>
      <c r="L63" s="32"/>
      <c r="M63" s="32"/>
      <c r="N63" s="32"/>
      <c r="O63" s="32"/>
      <c r="P63" s="32">
        <v>324</v>
      </c>
      <c r="Q63" s="32"/>
      <c r="R63" s="32"/>
      <c r="S63" s="32">
        <v>10</v>
      </c>
      <c r="T63" s="32"/>
      <c r="U63" s="11"/>
      <c r="V63" s="11"/>
      <c r="W63" s="11"/>
      <c r="X63" s="11"/>
      <c r="Y63" s="11"/>
      <c r="Z63" s="11"/>
      <c r="AA63" s="11"/>
      <c r="AB63" s="11"/>
    </row>
    <row r="64" spans="1:28" ht="18.75" customHeight="1">
      <c r="A64" s="29">
        <v>49</v>
      </c>
      <c r="B64" s="30" t="s">
        <v>76</v>
      </c>
      <c r="C64" s="31">
        <f t="shared" si="2"/>
        <v>286</v>
      </c>
      <c r="D64" s="32"/>
      <c r="E64" s="32"/>
      <c r="F64" s="32"/>
      <c r="G64" s="32"/>
      <c r="H64" s="32"/>
      <c r="I64" s="32"/>
      <c r="J64" s="32"/>
      <c r="K64" s="32"/>
      <c r="L64" s="32"/>
      <c r="M64" s="32"/>
      <c r="N64" s="32"/>
      <c r="O64" s="32"/>
      <c r="P64" s="32">
        <v>286</v>
      </c>
      <c r="Q64" s="32"/>
      <c r="R64" s="32"/>
      <c r="S64" s="32"/>
      <c r="T64" s="32"/>
      <c r="U64" s="11"/>
      <c r="V64" s="11"/>
      <c r="W64" s="11"/>
      <c r="X64" s="11"/>
      <c r="Y64" s="11"/>
      <c r="Z64" s="11"/>
      <c r="AA64" s="11"/>
      <c r="AB64" s="11"/>
    </row>
    <row r="65" spans="1:28" ht="18.75" customHeight="1">
      <c r="A65" s="29">
        <v>50</v>
      </c>
      <c r="B65" s="30" t="s">
        <v>77</v>
      </c>
      <c r="C65" s="31">
        <f t="shared" si="2"/>
        <v>325</v>
      </c>
      <c r="D65" s="32"/>
      <c r="E65" s="32"/>
      <c r="F65" s="32"/>
      <c r="G65" s="32"/>
      <c r="H65" s="32"/>
      <c r="I65" s="32"/>
      <c r="J65" s="32"/>
      <c r="K65" s="32"/>
      <c r="L65" s="32"/>
      <c r="M65" s="32"/>
      <c r="N65" s="32"/>
      <c r="O65" s="32"/>
      <c r="P65" s="32">
        <v>325</v>
      </c>
      <c r="Q65" s="32"/>
      <c r="R65" s="32"/>
      <c r="S65" s="32">
        <v>15</v>
      </c>
      <c r="T65" s="32"/>
      <c r="U65" s="3"/>
      <c r="V65" s="3"/>
      <c r="W65" s="3"/>
      <c r="X65" s="3"/>
      <c r="Y65" s="3"/>
      <c r="Z65" s="3"/>
      <c r="AA65" s="3"/>
      <c r="AB65" s="3"/>
    </row>
    <row r="66" spans="1:28" ht="37.5" customHeight="1">
      <c r="A66" s="26" t="s">
        <v>78</v>
      </c>
      <c r="B66" s="47" t="s">
        <v>79</v>
      </c>
      <c r="C66" s="28">
        <f>SUM(D66:M66)+P66+Q66+R66</f>
        <v>831781</v>
      </c>
      <c r="D66" s="34">
        <f>SUM(D67:D120)</f>
        <v>244924</v>
      </c>
      <c r="E66" s="34">
        <f t="shared" ref="E66:T66" si="6">SUM(E67:E120)</f>
        <v>0</v>
      </c>
      <c r="F66" s="34">
        <f t="shared" si="6"/>
        <v>15538</v>
      </c>
      <c r="G66" s="34">
        <f t="shared" si="6"/>
        <v>8889</v>
      </c>
      <c r="H66" s="34">
        <f t="shared" si="6"/>
        <v>227878</v>
      </c>
      <c r="I66" s="34">
        <f t="shared" si="6"/>
        <v>1681</v>
      </c>
      <c r="J66" s="34">
        <f t="shared" si="6"/>
        <v>0</v>
      </c>
      <c r="K66" s="34">
        <f t="shared" si="6"/>
        <v>0</v>
      </c>
      <c r="L66" s="34">
        <f t="shared" si="6"/>
        <v>37778</v>
      </c>
      <c r="M66" s="34">
        <f t="shared" si="6"/>
        <v>187492</v>
      </c>
      <c r="N66" s="34">
        <f t="shared" si="6"/>
        <v>0</v>
      </c>
      <c r="O66" s="34">
        <f t="shared" si="6"/>
        <v>91621</v>
      </c>
      <c r="P66" s="34">
        <f t="shared" si="6"/>
        <v>13169</v>
      </c>
      <c r="Q66" s="34">
        <f t="shared" si="6"/>
        <v>16921</v>
      </c>
      <c r="R66" s="34">
        <f t="shared" si="6"/>
        <v>77511</v>
      </c>
      <c r="S66" s="34">
        <f t="shared" si="6"/>
        <v>37807</v>
      </c>
      <c r="T66" s="34">
        <f t="shared" si="6"/>
        <v>0</v>
      </c>
      <c r="U66" s="3"/>
      <c r="V66" s="3"/>
      <c r="W66" s="3"/>
      <c r="X66" s="3"/>
      <c r="Y66" s="3"/>
      <c r="Z66" s="3"/>
      <c r="AA66" s="3"/>
      <c r="AB66" s="3"/>
    </row>
    <row r="67" spans="1:28" ht="73.5" customHeight="1">
      <c r="A67" s="29">
        <v>1</v>
      </c>
      <c r="B67" s="30" t="s">
        <v>124</v>
      </c>
      <c r="C67" s="31">
        <f t="shared" si="2"/>
        <v>120</v>
      </c>
      <c r="D67" s="32"/>
      <c r="E67" s="32"/>
      <c r="F67" s="32"/>
      <c r="G67" s="32"/>
      <c r="H67" s="32"/>
      <c r="I67" s="32"/>
      <c r="J67" s="32"/>
      <c r="K67" s="32"/>
      <c r="L67" s="32"/>
      <c r="M67" s="32"/>
      <c r="N67" s="32"/>
      <c r="O67" s="32"/>
      <c r="P67" s="32">
        <v>120</v>
      </c>
      <c r="Q67" s="32"/>
      <c r="R67" s="32"/>
      <c r="S67" s="32"/>
      <c r="T67" s="32"/>
      <c r="U67" s="3"/>
      <c r="V67" s="3"/>
      <c r="W67" s="3"/>
      <c r="X67" s="3"/>
      <c r="Y67" s="3"/>
      <c r="Z67" s="3"/>
      <c r="AA67" s="3"/>
      <c r="AB67" s="3"/>
    </row>
    <row r="68" spans="1:28" ht="122.25" customHeight="1">
      <c r="A68" s="29">
        <v>2</v>
      </c>
      <c r="B68" s="30" t="s">
        <v>125</v>
      </c>
      <c r="C68" s="31">
        <f>SUM(D68:M68)+P68+Q68+R68</f>
        <v>556</v>
      </c>
      <c r="D68" s="32"/>
      <c r="E68" s="32"/>
      <c r="F68" s="32"/>
      <c r="G68" s="32"/>
      <c r="H68" s="32"/>
      <c r="I68" s="32"/>
      <c r="J68" s="32"/>
      <c r="K68" s="32"/>
      <c r="L68" s="32"/>
      <c r="M68" s="32"/>
      <c r="N68" s="32"/>
      <c r="O68" s="32"/>
      <c r="P68" s="32">
        <v>556</v>
      </c>
      <c r="Q68" s="32"/>
      <c r="R68" s="32"/>
      <c r="S68" s="32">
        <f>56</f>
        <v>56</v>
      </c>
      <c r="T68" s="32"/>
      <c r="U68" s="3"/>
      <c r="V68" s="3"/>
      <c r="W68" s="3"/>
      <c r="X68" s="3"/>
      <c r="Y68" s="3"/>
      <c r="Z68" s="3"/>
      <c r="AA68" s="3"/>
      <c r="AB68" s="3"/>
    </row>
    <row r="69" spans="1:28" ht="18.75" customHeight="1">
      <c r="A69" s="29">
        <v>3</v>
      </c>
      <c r="B69" s="30" t="s">
        <v>126</v>
      </c>
      <c r="C69" s="31">
        <f t="shared" si="2"/>
        <v>1000</v>
      </c>
      <c r="D69" s="32"/>
      <c r="E69" s="32"/>
      <c r="F69" s="32"/>
      <c r="G69" s="32"/>
      <c r="H69" s="32"/>
      <c r="I69" s="32"/>
      <c r="J69" s="32"/>
      <c r="K69" s="32"/>
      <c r="L69" s="32"/>
      <c r="M69" s="32"/>
      <c r="N69" s="32"/>
      <c r="O69" s="32"/>
      <c r="P69" s="32">
        <v>1000</v>
      </c>
      <c r="Q69" s="32"/>
      <c r="R69" s="32"/>
      <c r="S69" s="32"/>
      <c r="T69" s="32"/>
      <c r="U69" s="3"/>
      <c r="V69" s="3"/>
      <c r="W69" s="3"/>
      <c r="X69" s="3"/>
      <c r="Y69" s="3"/>
      <c r="Z69" s="3"/>
      <c r="AA69" s="3"/>
      <c r="AB69" s="3"/>
    </row>
    <row r="70" spans="1:28" ht="17.25" customHeight="1">
      <c r="A70" s="29">
        <v>4</v>
      </c>
      <c r="B70" s="30" t="s">
        <v>127</v>
      </c>
      <c r="C70" s="31">
        <f t="shared" si="2"/>
        <v>493</v>
      </c>
      <c r="D70" s="32"/>
      <c r="E70" s="32"/>
      <c r="F70" s="32"/>
      <c r="G70" s="32"/>
      <c r="H70" s="32"/>
      <c r="I70" s="32"/>
      <c r="J70" s="32"/>
      <c r="K70" s="32"/>
      <c r="L70" s="32"/>
      <c r="M70" s="32"/>
      <c r="N70" s="32"/>
      <c r="O70" s="32"/>
      <c r="P70" s="32">
        <v>493</v>
      </c>
      <c r="Q70" s="32"/>
      <c r="R70" s="32"/>
      <c r="S70" s="32"/>
      <c r="T70" s="32"/>
      <c r="U70" s="3"/>
      <c r="V70" s="3"/>
      <c r="W70" s="3"/>
      <c r="X70" s="3"/>
      <c r="Y70" s="3"/>
      <c r="Z70" s="3"/>
      <c r="AA70" s="3"/>
      <c r="AB70" s="3"/>
    </row>
    <row r="71" spans="1:28" ht="66">
      <c r="A71" s="29">
        <v>5</v>
      </c>
      <c r="B71" s="30" t="s">
        <v>147</v>
      </c>
      <c r="C71" s="31">
        <f>SUM(D71:M71)+P71+Q71+R71</f>
        <v>3000</v>
      </c>
      <c r="D71" s="32"/>
      <c r="E71" s="32"/>
      <c r="F71" s="32"/>
      <c r="G71" s="32"/>
      <c r="H71" s="32"/>
      <c r="I71" s="32"/>
      <c r="J71" s="32"/>
      <c r="K71" s="32"/>
      <c r="L71" s="32"/>
      <c r="M71" s="32"/>
      <c r="N71" s="32"/>
      <c r="O71" s="32"/>
      <c r="P71" s="32">
        <v>3000</v>
      </c>
      <c r="Q71" s="32"/>
      <c r="R71" s="32"/>
      <c r="S71" s="32"/>
      <c r="T71" s="32"/>
      <c r="U71" s="3"/>
      <c r="V71" s="3"/>
      <c r="W71" s="3"/>
      <c r="X71" s="3"/>
      <c r="Y71" s="3"/>
      <c r="Z71" s="3"/>
      <c r="AA71" s="3"/>
      <c r="AB71" s="3"/>
    </row>
    <row r="72" spans="1:28" ht="36.75" customHeight="1">
      <c r="A72" s="29">
        <v>6</v>
      </c>
      <c r="B72" s="30" t="s">
        <v>166</v>
      </c>
      <c r="C72" s="31">
        <f>SUM(D72:M72)+P72+Q72+R72</f>
        <v>1000</v>
      </c>
      <c r="D72" s="32"/>
      <c r="E72" s="32"/>
      <c r="F72" s="32"/>
      <c r="G72" s="32"/>
      <c r="H72" s="32"/>
      <c r="I72" s="32"/>
      <c r="J72" s="32"/>
      <c r="K72" s="32"/>
      <c r="L72" s="32"/>
      <c r="M72" s="32"/>
      <c r="N72" s="32"/>
      <c r="O72" s="32"/>
      <c r="P72" s="32">
        <v>1000</v>
      </c>
      <c r="Q72" s="32"/>
      <c r="R72" s="32"/>
      <c r="S72" s="32"/>
      <c r="T72" s="32"/>
      <c r="U72" s="3"/>
      <c r="V72" s="3"/>
      <c r="W72" s="3"/>
      <c r="X72" s="3"/>
      <c r="Y72" s="3"/>
      <c r="Z72" s="3"/>
      <c r="AA72" s="3"/>
      <c r="AB72" s="3"/>
    </row>
    <row r="73" spans="1:28" ht="36.75" customHeight="1">
      <c r="A73" s="29">
        <v>7</v>
      </c>
      <c r="B73" s="30" t="s">
        <v>148</v>
      </c>
      <c r="C73" s="31">
        <f>SUM(D73:M73)+P73+Q73+R73</f>
        <v>2000</v>
      </c>
      <c r="D73" s="32"/>
      <c r="E73" s="32"/>
      <c r="F73" s="32"/>
      <c r="G73" s="32"/>
      <c r="H73" s="32"/>
      <c r="I73" s="32"/>
      <c r="J73" s="32"/>
      <c r="K73" s="32"/>
      <c r="L73" s="32"/>
      <c r="M73" s="32"/>
      <c r="N73" s="32"/>
      <c r="O73" s="32"/>
      <c r="P73" s="32">
        <v>2000</v>
      </c>
      <c r="Q73" s="32"/>
      <c r="R73" s="32"/>
      <c r="S73" s="32"/>
      <c r="T73" s="32"/>
      <c r="U73" s="3"/>
      <c r="V73" s="3"/>
      <c r="W73" s="3"/>
      <c r="X73" s="3"/>
      <c r="Y73" s="3"/>
      <c r="Z73" s="3"/>
      <c r="AA73" s="3"/>
      <c r="AB73" s="3"/>
    </row>
    <row r="74" spans="1:28" ht="38.25" customHeight="1">
      <c r="A74" s="29">
        <v>8</v>
      </c>
      <c r="B74" s="30" t="s">
        <v>149</v>
      </c>
      <c r="C74" s="31">
        <f>SUM(D74:M74)+P74+Q74+R74</f>
        <v>5000</v>
      </c>
      <c r="D74" s="32"/>
      <c r="E74" s="32"/>
      <c r="F74" s="32"/>
      <c r="G74" s="32"/>
      <c r="H74" s="32"/>
      <c r="I74" s="32"/>
      <c r="J74" s="32"/>
      <c r="K74" s="32"/>
      <c r="L74" s="32"/>
      <c r="M74" s="32"/>
      <c r="N74" s="32"/>
      <c r="O74" s="32"/>
      <c r="P74" s="32">
        <v>5000</v>
      </c>
      <c r="Q74" s="32"/>
      <c r="R74" s="32"/>
      <c r="S74" s="32">
        <v>500</v>
      </c>
      <c r="T74" s="32"/>
      <c r="U74" s="3"/>
      <c r="V74" s="3"/>
      <c r="W74" s="3"/>
      <c r="X74" s="3"/>
      <c r="Y74" s="3"/>
      <c r="Z74" s="3"/>
      <c r="AA74" s="3"/>
      <c r="AB74" s="3"/>
    </row>
    <row r="75" spans="1:28" ht="39.75" customHeight="1">
      <c r="A75" s="29">
        <v>9</v>
      </c>
      <c r="B75" s="30" t="s">
        <v>173</v>
      </c>
      <c r="C75" s="31">
        <f t="shared" si="2"/>
        <v>109084</v>
      </c>
      <c r="D75" s="32">
        <f>15123+90000</f>
        <v>105123</v>
      </c>
      <c r="E75" s="32"/>
      <c r="F75" s="32"/>
      <c r="G75" s="32"/>
      <c r="H75" s="32"/>
      <c r="I75" s="32">
        <f>348</f>
        <v>348</v>
      </c>
      <c r="J75" s="32"/>
      <c r="K75" s="32"/>
      <c r="L75" s="32"/>
      <c r="M75" s="32">
        <f>1692</f>
        <v>1692</v>
      </c>
      <c r="N75" s="32"/>
      <c r="O75" s="32">
        <f>1692</f>
        <v>1692</v>
      </c>
      <c r="P75" s="32"/>
      <c r="Q75" s="32">
        <v>1921</v>
      </c>
      <c r="R75" s="32"/>
      <c r="S75" s="32"/>
      <c r="T75" s="32"/>
      <c r="U75" s="3"/>
      <c r="V75" s="3"/>
      <c r="W75" s="3"/>
      <c r="X75" s="3"/>
      <c r="Y75" s="3"/>
      <c r="Z75" s="3"/>
      <c r="AA75" s="3"/>
      <c r="AB75" s="3"/>
    </row>
    <row r="76" spans="1:28" ht="20.25" customHeight="1">
      <c r="A76" s="29">
        <v>10</v>
      </c>
      <c r="B76" s="35" t="s">
        <v>128</v>
      </c>
      <c r="C76" s="31">
        <f t="shared" si="2"/>
        <v>178</v>
      </c>
      <c r="D76" s="32">
        <v>178</v>
      </c>
      <c r="E76" s="32"/>
      <c r="F76" s="32"/>
      <c r="G76" s="32"/>
      <c r="H76" s="32"/>
      <c r="I76" s="32"/>
      <c r="J76" s="32"/>
      <c r="K76" s="32"/>
      <c r="L76" s="32"/>
      <c r="M76" s="32"/>
      <c r="N76" s="32"/>
      <c r="O76" s="32"/>
      <c r="P76" s="32"/>
      <c r="Q76" s="32"/>
      <c r="R76" s="32"/>
      <c r="S76" s="32">
        <v>18</v>
      </c>
      <c r="T76" s="32"/>
      <c r="U76" s="3"/>
      <c r="V76" s="3"/>
      <c r="W76" s="3"/>
      <c r="X76" s="3"/>
      <c r="Y76" s="3"/>
      <c r="Z76" s="3"/>
      <c r="AA76" s="3"/>
      <c r="AB76" s="3"/>
    </row>
    <row r="77" spans="1:28" ht="33">
      <c r="A77" s="29">
        <v>11</v>
      </c>
      <c r="B77" s="30" t="s">
        <v>103</v>
      </c>
      <c r="C77" s="31">
        <f t="shared" si="2"/>
        <v>5000</v>
      </c>
      <c r="D77" s="32">
        <v>5000</v>
      </c>
      <c r="E77" s="32"/>
      <c r="F77" s="32"/>
      <c r="G77" s="32"/>
      <c r="H77" s="32"/>
      <c r="I77" s="32"/>
      <c r="J77" s="32"/>
      <c r="K77" s="32"/>
      <c r="L77" s="32"/>
      <c r="M77" s="32"/>
      <c r="N77" s="32"/>
      <c r="O77" s="32"/>
      <c r="P77" s="32"/>
      <c r="Q77" s="32"/>
      <c r="R77" s="32"/>
      <c r="S77" s="32">
        <v>500</v>
      </c>
      <c r="T77" s="32"/>
      <c r="U77" s="3"/>
      <c r="V77" s="3"/>
      <c r="W77" s="3"/>
      <c r="X77" s="3"/>
      <c r="Y77" s="3"/>
      <c r="Z77" s="3"/>
      <c r="AA77" s="3"/>
      <c r="AB77" s="3"/>
    </row>
    <row r="78" spans="1:28" ht="33">
      <c r="A78" s="29">
        <v>12</v>
      </c>
      <c r="B78" s="30" t="s">
        <v>170</v>
      </c>
      <c r="C78" s="31">
        <f t="shared" si="2"/>
        <v>100000</v>
      </c>
      <c r="D78" s="32">
        <v>100000</v>
      </c>
      <c r="E78" s="32"/>
      <c r="F78" s="32"/>
      <c r="G78" s="32"/>
      <c r="H78" s="32"/>
      <c r="I78" s="32"/>
      <c r="J78" s="32"/>
      <c r="K78" s="32"/>
      <c r="L78" s="32"/>
      <c r="M78" s="32"/>
      <c r="N78" s="32"/>
      <c r="O78" s="32"/>
      <c r="P78" s="32"/>
      <c r="Q78" s="32"/>
      <c r="R78" s="32"/>
      <c r="S78" s="32">
        <v>10000</v>
      </c>
      <c r="T78" s="32"/>
      <c r="U78" s="3"/>
      <c r="V78" s="3"/>
      <c r="W78" s="3"/>
      <c r="X78" s="3"/>
      <c r="Y78" s="3"/>
      <c r="Z78" s="3"/>
      <c r="AA78" s="3"/>
      <c r="AB78" s="3"/>
    </row>
    <row r="79" spans="1:28" ht="35.25" customHeight="1">
      <c r="A79" s="29">
        <v>13</v>
      </c>
      <c r="B79" s="30" t="s">
        <v>130</v>
      </c>
      <c r="C79" s="31">
        <f t="shared" si="2"/>
        <v>6500</v>
      </c>
      <c r="D79" s="32">
        <v>6500</v>
      </c>
      <c r="E79" s="32"/>
      <c r="F79" s="32"/>
      <c r="G79" s="32"/>
      <c r="H79" s="32"/>
      <c r="I79" s="32"/>
      <c r="J79" s="32"/>
      <c r="K79" s="32"/>
      <c r="L79" s="32"/>
      <c r="M79" s="32"/>
      <c r="N79" s="32"/>
      <c r="O79" s="32"/>
      <c r="P79" s="32"/>
      <c r="Q79" s="32"/>
      <c r="R79" s="32"/>
      <c r="S79" s="32">
        <v>650</v>
      </c>
      <c r="T79" s="32"/>
      <c r="U79" s="3"/>
      <c r="V79" s="3"/>
      <c r="W79" s="3"/>
      <c r="X79" s="3"/>
      <c r="Y79" s="3"/>
      <c r="Z79" s="3"/>
      <c r="AA79" s="3"/>
      <c r="AB79" s="3"/>
    </row>
    <row r="80" spans="1:28" ht="24" customHeight="1">
      <c r="A80" s="29">
        <v>14</v>
      </c>
      <c r="B80" s="30" t="s">
        <v>131</v>
      </c>
      <c r="C80" s="31">
        <f t="shared" si="2"/>
        <v>556</v>
      </c>
      <c r="D80" s="32">
        <v>556</v>
      </c>
      <c r="E80" s="32"/>
      <c r="F80" s="32"/>
      <c r="G80" s="32"/>
      <c r="H80" s="32"/>
      <c r="I80" s="32"/>
      <c r="J80" s="32"/>
      <c r="K80" s="32"/>
      <c r="L80" s="32"/>
      <c r="M80" s="32"/>
      <c r="N80" s="32"/>
      <c r="O80" s="32"/>
      <c r="P80" s="32"/>
      <c r="Q80" s="32"/>
      <c r="R80" s="32"/>
      <c r="S80" s="32">
        <v>56</v>
      </c>
      <c r="T80" s="32"/>
      <c r="U80" s="3"/>
      <c r="V80" s="3"/>
      <c r="W80" s="3"/>
      <c r="X80" s="3"/>
      <c r="Y80" s="3"/>
      <c r="Z80" s="3"/>
      <c r="AA80" s="3"/>
      <c r="AB80" s="3"/>
    </row>
    <row r="81" spans="1:28" ht="19.5" customHeight="1">
      <c r="A81" s="29">
        <v>15</v>
      </c>
      <c r="B81" s="30" t="s">
        <v>82</v>
      </c>
      <c r="C81" s="31">
        <f t="shared" si="2"/>
        <v>500</v>
      </c>
      <c r="D81" s="32">
        <v>500</v>
      </c>
      <c r="E81" s="32"/>
      <c r="F81" s="32"/>
      <c r="G81" s="32"/>
      <c r="H81" s="32"/>
      <c r="I81" s="32"/>
      <c r="J81" s="32"/>
      <c r="K81" s="32"/>
      <c r="L81" s="32"/>
      <c r="M81" s="32"/>
      <c r="N81" s="32"/>
      <c r="O81" s="32"/>
      <c r="P81" s="32"/>
      <c r="Q81" s="32"/>
      <c r="R81" s="32"/>
      <c r="S81" s="32"/>
      <c r="T81" s="32"/>
      <c r="U81" s="3"/>
      <c r="V81" s="3"/>
      <c r="W81" s="3"/>
      <c r="X81" s="3"/>
      <c r="Y81" s="3"/>
      <c r="Z81" s="3"/>
      <c r="AA81" s="3"/>
      <c r="AB81" s="3"/>
    </row>
    <row r="82" spans="1:28" ht="20.25" customHeight="1">
      <c r="A82" s="29">
        <v>16</v>
      </c>
      <c r="B82" s="30" t="s">
        <v>132</v>
      </c>
      <c r="C82" s="31">
        <f t="shared" si="2"/>
        <v>800</v>
      </c>
      <c r="D82" s="32">
        <v>800</v>
      </c>
      <c r="E82" s="32"/>
      <c r="F82" s="32"/>
      <c r="G82" s="32"/>
      <c r="H82" s="32"/>
      <c r="I82" s="32"/>
      <c r="J82" s="32"/>
      <c r="K82" s="32"/>
      <c r="L82" s="32"/>
      <c r="M82" s="32"/>
      <c r="N82" s="32"/>
      <c r="O82" s="32"/>
      <c r="P82" s="32"/>
      <c r="Q82" s="32"/>
      <c r="R82" s="32"/>
      <c r="S82" s="32"/>
      <c r="T82" s="32"/>
      <c r="U82" s="3"/>
      <c r="V82" s="3"/>
      <c r="W82" s="3"/>
      <c r="X82" s="3"/>
      <c r="Y82" s="3"/>
      <c r="Z82" s="3"/>
      <c r="AA82" s="3"/>
      <c r="AB82" s="3"/>
    </row>
    <row r="83" spans="1:28" ht="36.75" customHeight="1">
      <c r="A83" s="29">
        <v>17</v>
      </c>
      <c r="B83" s="30" t="s">
        <v>133</v>
      </c>
      <c r="C83" s="31">
        <f t="shared" si="2"/>
        <v>1600</v>
      </c>
      <c r="D83" s="32">
        <v>1600</v>
      </c>
      <c r="E83" s="32"/>
      <c r="F83" s="32"/>
      <c r="G83" s="32"/>
      <c r="H83" s="32"/>
      <c r="I83" s="32"/>
      <c r="J83" s="32"/>
      <c r="K83" s="32"/>
      <c r="L83" s="32"/>
      <c r="M83" s="32"/>
      <c r="N83" s="32"/>
      <c r="O83" s="32"/>
      <c r="P83" s="32"/>
      <c r="Q83" s="32"/>
      <c r="R83" s="32"/>
      <c r="S83" s="32"/>
      <c r="T83" s="32"/>
      <c r="U83" s="3"/>
      <c r="V83" s="3"/>
      <c r="W83" s="3"/>
      <c r="X83" s="3"/>
      <c r="Y83" s="3"/>
      <c r="Z83" s="3"/>
      <c r="AA83" s="3"/>
      <c r="AB83" s="3"/>
    </row>
    <row r="84" spans="1:28" ht="21.75" customHeight="1">
      <c r="A84" s="29">
        <v>18</v>
      </c>
      <c r="B84" s="30" t="s">
        <v>164</v>
      </c>
      <c r="C84" s="31">
        <f t="shared" si="2"/>
        <v>24667</v>
      </c>
      <c r="D84" s="32">
        <v>24667</v>
      </c>
      <c r="E84" s="32"/>
      <c r="F84" s="32"/>
      <c r="G84" s="32"/>
      <c r="H84" s="32"/>
      <c r="I84" s="32"/>
      <c r="J84" s="32"/>
      <c r="K84" s="32"/>
      <c r="L84" s="32"/>
      <c r="M84" s="32"/>
      <c r="N84" s="32"/>
      <c r="O84" s="32"/>
      <c r="P84" s="32"/>
      <c r="Q84" s="32"/>
      <c r="R84" s="32"/>
      <c r="S84" s="32">
        <v>2467</v>
      </c>
      <c r="T84" s="32"/>
      <c r="U84" s="3" t="s">
        <v>171</v>
      </c>
      <c r="V84" s="3"/>
      <c r="W84" s="3"/>
      <c r="X84" s="3"/>
      <c r="Y84" s="3"/>
      <c r="Z84" s="3"/>
      <c r="AA84" s="3"/>
      <c r="AB84" s="3"/>
    </row>
    <row r="85" spans="1:28" ht="71.25" customHeight="1">
      <c r="A85" s="29">
        <v>19</v>
      </c>
      <c r="B85" s="30" t="s">
        <v>169</v>
      </c>
      <c r="C85" s="31">
        <f t="shared" si="2"/>
        <v>4000</v>
      </c>
      <c r="D85" s="32"/>
      <c r="E85" s="32"/>
      <c r="F85" s="32"/>
      <c r="G85" s="32"/>
      <c r="H85" s="32">
        <v>4000</v>
      </c>
      <c r="I85" s="32"/>
      <c r="J85" s="32"/>
      <c r="K85" s="32"/>
      <c r="L85" s="32"/>
      <c r="M85" s="32"/>
      <c r="N85" s="32"/>
      <c r="O85" s="32"/>
      <c r="P85" s="32"/>
      <c r="Q85" s="32"/>
      <c r="R85" s="32"/>
      <c r="S85" s="32"/>
      <c r="T85" s="32"/>
      <c r="U85" s="3"/>
      <c r="V85" s="3"/>
      <c r="W85" s="3"/>
      <c r="X85" s="3"/>
      <c r="Y85" s="3"/>
      <c r="Z85" s="3"/>
      <c r="AA85" s="3"/>
      <c r="AB85" s="3"/>
    </row>
    <row r="86" spans="1:28" ht="36" customHeight="1">
      <c r="A86" s="29">
        <v>20</v>
      </c>
      <c r="B86" s="30" t="s">
        <v>134</v>
      </c>
      <c r="C86" s="31">
        <f t="shared" si="2"/>
        <v>190</v>
      </c>
      <c r="D86" s="32"/>
      <c r="E86" s="32"/>
      <c r="F86" s="32"/>
      <c r="G86" s="32"/>
      <c r="H86" s="32">
        <v>190</v>
      </c>
      <c r="I86" s="32"/>
      <c r="J86" s="32"/>
      <c r="K86" s="32"/>
      <c r="L86" s="32"/>
      <c r="M86" s="32"/>
      <c r="N86" s="32"/>
      <c r="O86" s="32"/>
      <c r="P86" s="32"/>
      <c r="Q86" s="32"/>
      <c r="R86" s="32"/>
      <c r="S86" s="32"/>
      <c r="T86" s="32"/>
      <c r="U86" s="3"/>
      <c r="V86" s="3"/>
      <c r="W86" s="3"/>
      <c r="X86" s="3"/>
      <c r="Y86" s="3"/>
      <c r="Z86" s="3"/>
      <c r="AA86" s="3"/>
      <c r="AB86" s="3"/>
    </row>
    <row r="87" spans="1:28" ht="22.5" customHeight="1">
      <c r="A87" s="29">
        <v>21</v>
      </c>
      <c r="B87" s="30" t="s">
        <v>85</v>
      </c>
      <c r="C87" s="31">
        <f t="shared" si="2"/>
        <v>76518</v>
      </c>
      <c r="D87" s="32"/>
      <c r="E87" s="32"/>
      <c r="F87" s="32"/>
      <c r="G87" s="32"/>
      <c r="H87" s="32">
        <v>76518</v>
      </c>
      <c r="I87" s="32"/>
      <c r="J87" s="32"/>
      <c r="K87" s="32"/>
      <c r="L87" s="32"/>
      <c r="M87" s="32"/>
      <c r="N87" s="32"/>
      <c r="O87" s="32"/>
      <c r="P87" s="32"/>
      <c r="Q87" s="32"/>
      <c r="R87" s="32"/>
      <c r="S87" s="32"/>
      <c r="T87" s="32"/>
      <c r="U87" s="3"/>
      <c r="V87" s="3"/>
      <c r="W87" s="3"/>
      <c r="X87" s="3"/>
      <c r="Y87" s="3"/>
      <c r="Z87" s="3"/>
      <c r="AA87" s="3"/>
      <c r="AB87" s="3"/>
    </row>
    <row r="88" spans="1:28" ht="66">
      <c r="A88" s="29">
        <v>22</v>
      </c>
      <c r="B88" s="30" t="s">
        <v>135</v>
      </c>
      <c r="C88" s="31">
        <f t="shared" si="2"/>
        <v>109620</v>
      </c>
      <c r="D88" s="32"/>
      <c r="E88" s="32"/>
      <c r="F88" s="32"/>
      <c r="G88" s="32"/>
      <c r="H88" s="32">
        <v>109620</v>
      </c>
      <c r="I88" s="32"/>
      <c r="J88" s="32"/>
      <c r="K88" s="32"/>
      <c r="L88" s="32"/>
      <c r="M88" s="32"/>
      <c r="N88" s="32"/>
      <c r="O88" s="32"/>
      <c r="P88" s="32"/>
      <c r="Q88" s="32"/>
      <c r="R88" s="32"/>
      <c r="S88" s="32"/>
      <c r="T88" s="32"/>
      <c r="U88" s="3"/>
      <c r="V88" s="3"/>
      <c r="W88" s="3"/>
      <c r="X88" s="3"/>
      <c r="Y88" s="3"/>
      <c r="Z88" s="3"/>
      <c r="AA88" s="3"/>
      <c r="AB88" s="3"/>
    </row>
    <row r="89" spans="1:28" ht="21.75" customHeight="1">
      <c r="A89" s="29">
        <v>23</v>
      </c>
      <c r="B89" s="30" t="s">
        <v>136</v>
      </c>
      <c r="C89" s="31">
        <f t="shared" si="2"/>
        <v>34668</v>
      </c>
      <c r="D89" s="32"/>
      <c r="E89" s="32"/>
      <c r="F89" s="32"/>
      <c r="G89" s="32"/>
      <c r="H89" s="32">
        <v>34668</v>
      </c>
      <c r="I89" s="32"/>
      <c r="J89" s="32"/>
      <c r="K89" s="32"/>
      <c r="L89" s="32"/>
      <c r="M89" s="32"/>
      <c r="N89" s="32"/>
      <c r="O89" s="32"/>
      <c r="P89" s="32"/>
      <c r="Q89" s="32"/>
      <c r="R89" s="32"/>
      <c r="S89" s="32"/>
      <c r="T89" s="32"/>
      <c r="U89" s="3"/>
      <c r="V89" s="3"/>
      <c r="W89" s="3"/>
      <c r="X89" s="3"/>
      <c r="Y89" s="3"/>
      <c r="Z89" s="3"/>
      <c r="AA89" s="3"/>
      <c r="AB89" s="3"/>
    </row>
    <row r="90" spans="1:28" ht="58.5" customHeight="1">
      <c r="A90" s="29">
        <v>24</v>
      </c>
      <c r="B90" s="30" t="s">
        <v>137</v>
      </c>
      <c r="C90" s="31">
        <f t="shared" si="2"/>
        <v>2882</v>
      </c>
      <c r="D90" s="32"/>
      <c r="E90" s="32"/>
      <c r="F90" s="32"/>
      <c r="G90" s="32"/>
      <c r="H90" s="32">
        <v>2882</v>
      </c>
      <c r="I90" s="32"/>
      <c r="J90" s="32"/>
      <c r="K90" s="32"/>
      <c r="L90" s="32"/>
      <c r="M90" s="32"/>
      <c r="N90" s="32"/>
      <c r="O90" s="32"/>
      <c r="P90" s="32"/>
      <c r="Q90" s="32"/>
      <c r="R90" s="32"/>
      <c r="S90" s="32"/>
      <c r="T90" s="32"/>
      <c r="U90" s="3"/>
      <c r="V90" s="3"/>
      <c r="W90" s="3"/>
      <c r="X90" s="3"/>
      <c r="Y90" s="3"/>
      <c r="Z90" s="3"/>
      <c r="AA90" s="3"/>
      <c r="AB90" s="3"/>
    </row>
    <row r="91" spans="1:28" ht="49.5">
      <c r="A91" s="29">
        <v>25</v>
      </c>
      <c r="B91" s="30" t="s">
        <v>138</v>
      </c>
      <c r="C91" s="31">
        <f t="shared" si="2"/>
        <v>8000</v>
      </c>
      <c r="D91" s="32"/>
      <c r="E91" s="32"/>
      <c r="F91" s="32"/>
      <c r="G91" s="32"/>
      <c r="H91" s="32"/>
      <c r="I91" s="32"/>
      <c r="J91" s="32"/>
      <c r="K91" s="32"/>
      <c r="L91" s="32"/>
      <c r="M91" s="32"/>
      <c r="N91" s="32"/>
      <c r="O91" s="32"/>
      <c r="P91" s="32"/>
      <c r="Q91" s="32">
        <v>8000</v>
      </c>
      <c r="R91" s="32"/>
      <c r="S91" s="32"/>
      <c r="T91" s="32"/>
      <c r="U91" s="3"/>
      <c r="V91" s="3"/>
      <c r="W91" s="3"/>
      <c r="X91" s="3"/>
      <c r="Y91" s="3"/>
      <c r="Z91" s="3"/>
      <c r="AA91" s="3"/>
      <c r="AB91" s="3"/>
    </row>
    <row r="92" spans="1:28" ht="36" customHeight="1">
      <c r="A92" s="29">
        <v>26</v>
      </c>
      <c r="B92" s="30" t="s">
        <v>139</v>
      </c>
      <c r="C92" s="31">
        <f t="shared" si="2"/>
        <v>5000</v>
      </c>
      <c r="D92" s="32"/>
      <c r="E92" s="32"/>
      <c r="F92" s="32"/>
      <c r="G92" s="32"/>
      <c r="H92" s="32"/>
      <c r="I92" s="32"/>
      <c r="J92" s="32"/>
      <c r="K92" s="32"/>
      <c r="L92" s="32"/>
      <c r="M92" s="32"/>
      <c r="N92" s="32"/>
      <c r="O92" s="32"/>
      <c r="P92" s="32"/>
      <c r="Q92" s="32">
        <v>5000</v>
      </c>
      <c r="R92" s="32"/>
      <c r="S92" s="32"/>
      <c r="T92" s="32"/>
      <c r="U92" s="3"/>
      <c r="V92" s="3"/>
      <c r="W92" s="3"/>
      <c r="X92" s="3"/>
      <c r="Y92" s="3"/>
      <c r="Z92" s="3"/>
      <c r="AA92" s="3"/>
      <c r="AB92" s="3"/>
    </row>
    <row r="93" spans="1:28" ht="36.75" customHeight="1">
      <c r="A93" s="29">
        <v>27</v>
      </c>
      <c r="B93" s="30" t="s">
        <v>146</v>
      </c>
      <c r="C93" s="31">
        <f>SUM(D93:M93)+P93+Q93+R93</f>
        <v>2000</v>
      </c>
      <c r="D93" s="32"/>
      <c r="E93" s="32"/>
      <c r="F93" s="32"/>
      <c r="G93" s="32"/>
      <c r="H93" s="32"/>
      <c r="I93" s="32"/>
      <c r="J93" s="32"/>
      <c r="K93" s="32"/>
      <c r="L93" s="32"/>
      <c r="M93" s="32"/>
      <c r="N93" s="32"/>
      <c r="O93" s="32"/>
      <c r="P93" s="32"/>
      <c r="Q93" s="32">
        <v>2000</v>
      </c>
      <c r="R93" s="32"/>
      <c r="S93" s="32"/>
      <c r="T93" s="32"/>
      <c r="U93" s="3"/>
      <c r="V93" s="3"/>
      <c r="W93" s="3"/>
      <c r="X93" s="3"/>
      <c r="Y93" s="3"/>
      <c r="Z93" s="3"/>
      <c r="AA93" s="3"/>
      <c r="AB93" s="3"/>
    </row>
    <row r="94" spans="1:28" ht="39" customHeight="1">
      <c r="A94" s="29">
        <v>28</v>
      </c>
      <c r="B94" s="30" t="s">
        <v>168</v>
      </c>
      <c r="C94" s="31">
        <f t="shared" si="2"/>
        <v>27800</v>
      </c>
      <c r="D94" s="32"/>
      <c r="E94" s="32"/>
      <c r="F94" s="32"/>
      <c r="G94" s="32"/>
      <c r="H94" s="32"/>
      <c r="I94" s="32"/>
      <c r="J94" s="32"/>
      <c r="K94" s="32"/>
      <c r="L94" s="32"/>
      <c r="M94" s="32">
        <v>27800</v>
      </c>
      <c r="N94" s="32"/>
      <c r="O94" s="32"/>
      <c r="P94" s="32"/>
      <c r="Q94" s="32"/>
      <c r="R94" s="32"/>
      <c r="S94" s="32">
        <v>2800</v>
      </c>
      <c r="T94" s="32"/>
      <c r="U94" s="3"/>
      <c r="V94" s="3"/>
      <c r="W94" s="3"/>
      <c r="X94" s="3"/>
      <c r="Y94" s="3"/>
      <c r="Z94" s="3"/>
      <c r="AA94" s="3"/>
      <c r="AB94" s="3"/>
    </row>
    <row r="95" spans="1:28" ht="21.75" customHeight="1">
      <c r="A95" s="29">
        <v>29</v>
      </c>
      <c r="B95" s="30" t="s">
        <v>90</v>
      </c>
      <c r="C95" s="31">
        <f t="shared" si="2"/>
        <v>7450</v>
      </c>
      <c r="D95" s="32"/>
      <c r="E95" s="32"/>
      <c r="F95" s="32"/>
      <c r="G95" s="32"/>
      <c r="H95" s="32"/>
      <c r="I95" s="32"/>
      <c r="J95" s="32"/>
      <c r="K95" s="32"/>
      <c r="L95" s="32"/>
      <c r="M95" s="32">
        <v>7450</v>
      </c>
      <c r="N95" s="32"/>
      <c r="O95" s="32"/>
      <c r="P95" s="32"/>
      <c r="Q95" s="32"/>
      <c r="R95" s="32"/>
      <c r="S95" s="32"/>
      <c r="T95" s="32"/>
      <c r="U95" s="3"/>
      <c r="V95" s="3"/>
      <c r="W95" s="3"/>
      <c r="X95" s="3"/>
      <c r="Y95" s="3"/>
      <c r="Z95" s="3"/>
      <c r="AA95" s="3"/>
      <c r="AB95" s="3"/>
    </row>
    <row r="96" spans="1:28" ht="18.75" customHeight="1">
      <c r="A96" s="29">
        <v>30</v>
      </c>
      <c r="B96" s="30" t="s">
        <v>140</v>
      </c>
      <c r="C96" s="31">
        <f t="shared" si="2"/>
        <v>4444</v>
      </c>
      <c r="D96" s="32"/>
      <c r="E96" s="32"/>
      <c r="F96" s="32"/>
      <c r="G96" s="32"/>
      <c r="H96" s="32"/>
      <c r="I96" s="32"/>
      <c r="J96" s="32"/>
      <c r="K96" s="32"/>
      <c r="L96" s="32"/>
      <c r="M96" s="32">
        <v>4444</v>
      </c>
      <c r="N96" s="32"/>
      <c r="O96" s="32"/>
      <c r="P96" s="32"/>
      <c r="Q96" s="32"/>
      <c r="R96" s="32"/>
      <c r="S96" s="32">
        <v>444</v>
      </c>
      <c r="T96" s="32"/>
      <c r="U96" s="3"/>
      <c r="V96" s="3"/>
      <c r="W96" s="3"/>
      <c r="X96" s="3"/>
      <c r="Y96" s="3"/>
      <c r="Z96" s="3"/>
      <c r="AA96" s="3"/>
      <c r="AB96" s="3"/>
    </row>
    <row r="97" spans="1:28" ht="21.75" customHeight="1">
      <c r="A97" s="29">
        <v>31</v>
      </c>
      <c r="B97" s="30" t="s">
        <v>142</v>
      </c>
      <c r="C97" s="31">
        <f t="shared" si="2"/>
        <v>10000</v>
      </c>
      <c r="D97" s="32"/>
      <c r="E97" s="32"/>
      <c r="F97" s="32"/>
      <c r="G97" s="32"/>
      <c r="H97" s="32"/>
      <c r="I97" s="32"/>
      <c r="J97" s="32"/>
      <c r="K97" s="32"/>
      <c r="L97" s="32"/>
      <c r="M97" s="32">
        <v>10000</v>
      </c>
      <c r="N97" s="32"/>
      <c r="O97" s="32"/>
      <c r="P97" s="32"/>
      <c r="Q97" s="32"/>
      <c r="R97" s="32"/>
      <c r="S97" s="32"/>
      <c r="T97" s="32"/>
      <c r="U97" s="3"/>
      <c r="V97" s="3"/>
      <c r="W97" s="3"/>
      <c r="X97" s="3"/>
      <c r="Y97" s="3"/>
      <c r="Z97" s="3"/>
      <c r="AA97" s="3"/>
      <c r="AB97" s="3"/>
    </row>
    <row r="98" spans="1:28" ht="20.25" customHeight="1">
      <c r="A98" s="29">
        <v>32</v>
      </c>
      <c r="B98" s="30" t="s">
        <v>141</v>
      </c>
      <c r="C98" s="31">
        <f t="shared" si="2"/>
        <v>54684</v>
      </c>
      <c r="D98" s="32"/>
      <c r="E98" s="32"/>
      <c r="F98" s="32"/>
      <c r="G98" s="32"/>
      <c r="H98" s="32"/>
      <c r="I98" s="32"/>
      <c r="J98" s="32"/>
      <c r="K98" s="32"/>
      <c r="L98" s="32"/>
      <c r="M98" s="32">
        <v>54684</v>
      </c>
      <c r="N98" s="32"/>
      <c r="O98" s="32">
        <f>M98</f>
        <v>54684</v>
      </c>
      <c r="P98" s="32"/>
      <c r="Q98" s="32"/>
      <c r="R98" s="41"/>
      <c r="S98" s="42"/>
      <c r="T98" s="32"/>
      <c r="U98" s="3"/>
      <c r="V98" s="3"/>
      <c r="W98" s="3"/>
      <c r="X98" s="3"/>
      <c r="Y98" s="3"/>
      <c r="Z98" s="3"/>
      <c r="AA98" s="3"/>
      <c r="AB98" s="3"/>
    </row>
    <row r="99" spans="1:28" ht="36.75" customHeight="1">
      <c r="A99" s="29">
        <v>33</v>
      </c>
      <c r="B99" s="30" t="s">
        <v>150</v>
      </c>
      <c r="C99" s="31">
        <f t="shared" ref="C99:C105" si="7">SUM(D99:M99)+P99+Q99+R99</f>
        <v>2889</v>
      </c>
      <c r="D99" s="32"/>
      <c r="E99" s="32"/>
      <c r="F99" s="32"/>
      <c r="G99" s="32"/>
      <c r="H99" s="32"/>
      <c r="I99" s="32"/>
      <c r="J99" s="32"/>
      <c r="K99" s="32"/>
      <c r="L99" s="32"/>
      <c r="M99" s="32">
        <v>2889</v>
      </c>
      <c r="N99" s="32"/>
      <c r="O99" s="32"/>
      <c r="P99" s="32"/>
      <c r="Q99" s="32"/>
      <c r="R99" s="32"/>
      <c r="S99" s="32">
        <v>289</v>
      </c>
      <c r="T99" s="32"/>
      <c r="U99" s="3"/>
      <c r="V99" s="3"/>
      <c r="W99" s="3"/>
      <c r="X99" s="3"/>
      <c r="Y99" s="3"/>
      <c r="Z99" s="3"/>
      <c r="AA99" s="3"/>
      <c r="AB99" s="3"/>
    </row>
    <row r="100" spans="1:28" ht="38.25" customHeight="1">
      <c r="A100" s="29">
        <v>34</v>
      </c>
      <c r="B100" s="30" t="s">
        <v>151</v>
      </c>
      <c r="C100" s="31">
        <f t="shared" si="7"/>
        <v>17867</v>
      </c>
      <c r="D100" s="32"/>
      <c r="E100" s="32"/>
      <c r="F100" s="32"/>
      <c r="G100" s="32"/>
      <c r="H100" s="32"/>
      <c r="I100" s="32"/>
      <c r="J100" s="32"/>
      <c r="K100" s="32"/>
      <c r="L100" s="32"/>
      <c r="M100" s="32">
        <v>17867</v>
      </c>
      <c r="N100" s="32"/>
      <c r="O100" s="32">
        <v>17867</v>
      </c>
      <c r="P100" s="32"/>
      <c r="Q100" s="32"/>
      <c r="R100" s="32"/>
      <c r="S100" s="32">
        <v>1787</v>
      </c>
      <c r="T100" s="32"/>
      <c r="U100" s="3"/>
      <c r="V100" s="3"/>
      <c r="W100" s="3"/>
      <c r="X100" s="3"/>
      <c r="Y100" s="3"/>
      <c r="Z100" s="3"/>
      <c r="AA100" s="3"/>
      <c r="AB100" s="3"/>
    </row>
    <row r="101" spans="1:28" ht="23.25" customHeight="1">
      <c r="A101" s="29">
        <v>35</v>
      </c>
      <c r="B101" s="30" t="s">
        <v>152</v>
      </c>
      <c r="C101" s="31">
        <f t="shared" si="7"/>
        <v>11111</v>
      </c>
      <c r="D101" s="32"/>
      <c r="E101" s="32"/>
      <c r="F101" s="32"/>
      <c r="G101" s="32"/>
      <c r="H101" s="32"/>
      <c r="I101" s="32"/>
      <c r="J101" s="32"/>
      <c r="K101" s="32"/>
      <c r="L101" s="32"/>
      <c r="M101" s="32">
        <v>11111</v>
      </c>
      <c r="N101" s="32"/>
      <c r="O101" s="32">
        <v>11111</v>
      </c>
      <c r="P101" s="32"/>
      <c r="Q101" s="32"/>
      <c r="R101" s="32"/>
      <c r="S101" s="32">
        <v>1111</v>
      </c>
      <c r="T101" s="32"/>
      <c r="U101" s="3"/>
      <c r="V101" s="3"/>
      <c r="W101" s="3"/>
      <c r="X101" s="3"/>
      <c r="Y101" s="3"/>
      <c r="Z101" s="3"/>
      <c r="AA101" s="3"/>
      <c r="AB101" s="3"/>
    </row>
    <row r="102" spans="1:28" ht="38.25" customHeight="1">
      <c r="A102" s="29">
        <v>36</v>
      </c>
      <c r="B102" s="30" t="s">
        <v>153</v>
      </c>
      <c r="C102" s="31">
        <f t="shared" si="7"/>
        <v>6267</v>
      </c>
      <c r="D102" s="32"/>
      <c r="E102" s="32"/>
      <c r="F102" s="32"/>
      <c r="G102" s="32"/>
      <c r="H102" s="32"/>
      <c r="I102" s="32"/>
      <c r="J102" s="32"/>
      <c r="K102" s="32"/>
      <c r="L102" s="32"/>
      <c r="M102" s="32">
        <v>6267</v>
      </c>
      <c r="N102" s="32"/>
      <c r="O102" s="32">
        <v>6267</v>
      </c>
      <c r="P102" s="32"/>
      <c r="Q102" s="32"/>
      <c r="R102" s="32"/>
      <c r="S102" s="32">
        <v>627</v>
      </c>
      <c r="T102" s="32"/>
      <c r="U102" s="3"/>
      <c r="V102" s="3"/>
      <c r="W102" s="3"/>
      <c r="X102" s="3"/>
      <c r="Y102" s="3"/>
      <c r="Z102" s="3"/>
      <c r="AA102" s="3"/>
      <c r="AB102" s="3"/>
    </row>
    <row r="103" spans="1:28" ht="36.75" customHeight="1">
      <c r="A103" s="29">
        <v>37</v>
      </c>
      <c r="B103" s="30" t="s">
        <v>172</v>
      </c>
      <c r="C103" s="31">
        <f t="shared" si="7"/>
        <v>4288</v>
      </c>
      <c r="D103" s="32"/>
      <c r="E103" s="32"/>
      <c r="F103" s="32"/>
      <c r="G103" s="32"/>
      <c r="H103" s="32"/>
      <c r="I103" s="32"/>
      <c r="J103" s="32"/>
      <c r="K103" s="32"/>
      <c r="L103" s="32"/>
      <c r="M103" s="32">
        <v>4288</v>
      </c>
      <c r="N103" s="32"/>
      <c r="O103" s="32"/>
      <c r="P103" s="32"/>
      <c r="Q103" s="32"/>
      <c r="R103" s="42"/>
      <c r="S103" s="42"/>
      <c r="T103" s="32"/>
      <c r="U103" s="3"/>
      <c r="V103" s="3"/>
      <c r="W103" s="3"/>
      <c r="X103" s="3"/>
      <c r="Y103" s="3"/>
      <c r="Z103" s="3"/>
      <c r="AA103" s="3"/>
      <c r="AB103" s="3"/>
    </row>
    <row r="104" spans="1:28" ht="21.75" customHeight="1">
      <c r="A104" s="29">
        <v>38</v>
      </c>
      <c r="B104" s="30" t="s">
        <v>143</v>
      </c>
      <c r="C104" s="31">
        <f t="shared" si="7"/>
        <v>39000</v>
      </c>
      <c r="D104" s="32"/>
      <c r="E104" s="32"/>
      <c r="F104" s="32"/>
      <c r="G104" s="32"/>
      <c r="H104" s="32"/>
      <c r="I104" s="32"/>
      <c r="J104" s="32"/>
      <c r="K104" s="32"/>
      <c r="L104" s="32"/>
      <c r="M104" s="32">
        <v>39000</v>
      </c>
      <c r="N104" s="32"/>
      <c r="O104" s="32"/>
      <c r="P104" s="32"/>
      <c r="Q104" s="32"/>
      <c r="R104" s="42"/>
      <c r="S104" s="42">
        <v>3900</v>
      </c>
      <c r="T104" s="32"/>
      <c r="U104" s="3"/>
      <c r="V104" s="3"/>
      <c r="W104" s="3"/>
      <c r="X104" s="3"/>
      <c r="Y104" s="3"/>
      <c r="Z104" s="3"/>
      <c r="AA104" s="3"/>
      <c r="AB104" s="3"/>
    </row>
    <row r="105" spans="1:28" s="43" customFormat="1" ht="38.25" customHeight="1">
      <c r="A105" s="29">
        <v>39</v>
      </c>
      <c r="B105" s="30" t="s">
        <v>145</v>
      </c>
      <c r="C105" s="31">
        <f t="shared" si="7"/>
        <v>15556</v>
      </c>
      <c r="D105" s="32"/>
      <c r="E105" s="32"/>
      <c r="F105" s="32"/>
      <c r="G105" s="32"/>
      <c r="H105" s="32"/>
      <c r="I105" s="32"/>
      <c r="J105" s="32"/>
      <c r="K105" s="32"/>
      <c r="L105" s="32">
        <v>15556</v>
      </c>
      <c r="M105" s="32"/>
      <c r="N105" s="32"/>
      <c r="O105" s="32"/>
      <c r="P105" s="32"/>
      <c r="Q105" s="32"/>
      <c r="R105" s="42"/>
      <c r="S105" s="42">
        <v>1556</v>
      </c>
      <c r="T105" s="32"/>
      <c r="U105" s="3"/>
      <c r="V105" s="3"/>
      <c r="W105" s="3"/>
      <c r="X105" s="3"/>
      <c r="Y105" s="3"/>
      <c r="Z105" s="3"/>
      <c r="AA105" s="3"/>
      <c r="AB105" s="3"/>
    </row>
    <row r="106" spans="1:28" ht="20.25" customHeight="1">
      <c r="A106" s="29">
        <v>40</v>
      </c>
      <c r="B106" s="30" t="s">
        <v>144</v>
      </c>
      <c r="C106" s="31">
        <f t="shared" si="2"/>
        <v>22222</v>
      </c>
      <c r="D106" s="32"/>
      <c r="E106" s="32"/>
      <c r="F106" s="32"/>
      <c r="G106" s="32"/>
      <c r="H106" s="32"/>
      <c r="I106" s="32"/>
      <c r="J106" s="32"/>
      <c r="K106" s="32"/>
      <c r="L106" s="32">
        <v>22222</v>
      </c>
      <c r="M106" s="32"/>
      <c r="N106" s="32"/>
      <c r="O106" s="32"/>
      <c r="P106" s="32"/>
      <c r="Q106" s="32"/>
      <c r="R106" s="32"/>
      <c r="S106" s="32">
        <v>2222</v>
      </c>
      <c r="T106" s="32"/>
      <c r="U106" s="3"/>
      <c r="V106" s="3"/>
      <c r="W106" s="3"/>
      <c r="X106" s="3"/>
      <c r="Y106" s="3"/>
      <c r="Z106" s="3"/>
      <c r="AA106" s="3"/>
      <c r="AB106" s="3"/>
    </row>
    <row r="107" spans="1:28" ht="20.25" customHeight="1">
      <c r="A107" s="29">
        <v>41</v>
      </c>
      <c r="B107" s="30" t="s">
        <v>154</v>
      </c>
      <c r="C107" s="31">
        <f t="shared" si="2"/>
        <v>8000</v>
      </c>
      <c r="D107" s="32"/>
      <c r="E107" s="32"/>
      <c r="F107" s="32"/>
      <c r="G107" s="32"/>
      <c r="H107" s="32"/>
      <c r="I107" s="32"/>
      <c r="J107" s="32"/>
      <c r="K107" s="32"/>
      <c r="L107" s="32"/>
      <c r="M107" s="32"/>
      <c r="N107" s="32"/>
      <c r="O107" s="32"/>
      <c r="P107" s="32"/>
      <c r="Q107" s="32"/>
      <c r="R107" s="32">
        <v>8000</v>
      </c>
      <c r="S107" s="32"/>
      <c r="T107" s="32"/>
      <c r="U107" s="3"/>
      <c r="V107" s="3"/>
      <c r="W107" s="3"/>
      <c r="X107" s="3"/>
      <c r="Y107" s="3"/>
      <c r="Z107" s="3"/>
      <c r="AA107" s="3"/>
      <c r="AB107" s="3"/>
    </row>
    <row r="108" spans="1:28" ht="20.25" customHeight="1">
      <c r="A108" s="29">
        <v>42</v>
      </c>
      <c r="B108" s="30" t="s">
        <v>155</v>
      </c>
      <c r="C108" s="31">
        <f t="shared" si="2"/>
        <v>1400</v>
      </c>
      <c r="D108" s="32"/>
      <c r="E108" s="32"/>
      <c r="F108" s="32"/>
      <c r="G108" s="32"/>
      <c r="H108" s="32"/>
      <c r="I108" s="32"/>
      <c r="J108" s="32"/>
      <c r="K108" s="32"/>
      <c r="L108" s="32"/>
      <c r="M108" s="32"/>
      <c r="N108" s="32"/>
      <c r="O108" s="32"/>
      <c r="P108" s="32"/>
      <c r="Q108" s="32"/>
      <c r="R108" s="32">
        <v>1400</v>
      </c>
      <c r="S108" s="32"/>
      <c r="T108" s="32"/>
      <c r="U108" s="3"/>
      <c r="V108" s="3"/>
      <c r="W108" s="3"/>
      <c r="X108" s="3"/>
      <c r="Y108" s="3"/>
      <c r="Z108" s="3"/>
      <c r="AA108" s="3"/>
      <c r="AB108" s="3"/>
    </row>
    <row r="109" spans="1:28" ht="20.25" customHeight="1">
      <c r="A109" s="29">
        <v>43</v>
      </c>
      <c r="B109" s="30" t="s">
        <v>156</v>
      </c>
      <c r="C109" s="31">
        <f t="shared" si="2"/>
        <v>3889</v>
      </c>
      <c r="D109" s="32"/>
      <c r="E109" s="32"/>
      <c r="F109" s="32"/>
      <c r="G109" s="32"/>
      <c r="H109" s="32"/>
      <c r="I109" s="32"/>
      <c r="J109" s="32"/>
      <c r="K109" s="32"/>
      <c r="L109" s="32"/>
      <c r="M109" s="32"/>
      <c r="N109" s="32"/>
      <c r="O109" s="32"/>
      <c r="P109" s="32"/>
      <c r="Q109" s="32"/>
      <c r="R109" s="32">
        <v>3889</v>
      </c>
      <c r="S109" s="32">
        <v>389</v>
      </c>
      <c r="T109" s="32"/>
      <c r="U109" s="3"/>
      <c r="V109" s="3"/>
      <c r="W109" s="3"/>
      <c r="X109" s="3"/>
      <c r="Y109" s="3"/>
      <c r="Z109" s="3"/>
      <c r="AA109" s="3"/>
      <c r="AB109" s="3"/>
    </row>
    <row r="110" spans="1:28" ht="39.75" customHeight="1">
      <c r="A110" s="29">
        <v>44</v>
      </c>
      <c r="B110" s="30" t="s">
        <v>157</v>
      </c>
      <c r="C110" s="31">
        <f t="shared" si="2"/>
        <v>1333</v>
      </c>
      <c r="D110" s="32"/>
      <c r="E110" s="32"/>
      <c r="F110" s="32"/>
      <c r="G110" s="32"/>
      <c r="H110" s="32"/>
      <c r="I110" s="32">
        <v>1333</v>
      </c>
      <c r="J110" s="32"/>
      <c r="K110" s="32"/>
      <c r="L110" s="32"/>
      <c r="M110" s="32"/>
      <c r="N110" s="32"/>
      <c r="O110" s="32"/>
      <c r="P110" s="32"/>
      <c r="Q110" s="32"/>
      <c r="R110" s="32"/>
      <c r="S110" s="32">
        <v>133</v>
      </c>
      <c r="T110" s="32"/>
      <c r="U110" s="3"/>
      <c r="V110" s="3"/>
      <c r="W110" s="3"/>
      <c r="X110" s="3"/>
      <c r="Y110" s="3"/>
      <c r="Z110" s="3"/>
      <c r="AA110" s="3"/>
      <c r="AB110" s="3"/>
    </row>
    <row r="111" spans="1:28" ht="51.75" customHeight="1">
      <c r="A111" s="29">
        <v>45</v>
      </c>
      <c r="B111" s="30" t="s">
        <v>158</v>
      </c>
      <c r="C111" s="31">
        <f t="shared" si="2"/>
        <v>32222</v>
      </c>
      <c r="D111" s="32"/>
      <c r="E111" s="32"/>
      <c r="F111" s="32"/>
      <c r="G111" s="32"/>
      <c r="H111" s="32"/>
      <c r="I111" s="32"/>
      <c r="J111" s="32"/>
      <c r="K111" s="32"/>
      <c r="L111" s="32"/>
      <c r="M111" s="32"/>
      <c r="N111" s="32"/>
      <c r="O111" s="32"/>
      <c r="P111" s="32"/>
      <c r="Q111" s="32"/>
      <c r="R111" s="32">
        <v>32222</v>
      </c>
      <c r="S111" s="32">
        <v>3222</v>
      </c>
      <c r="T111" s="32"/>
      <c r="U111" s="3"/>
      <c r="V111" s="3"/>
      <c r="W111" s="3"/>
      <c r="X111" s="3"/>
      <c r="Y111" s="3"/>
      <c r="Z111" s="3"/>
      <c r="AA111" s="3"/>
      <c r="AB111" s="3"/>
    </row>
    <row r="112" spans="1:28" ht="22.5" customHeight="1">
      <c r="A112" s="29">
        <v>46</v>
      </c>
      <c r="B112" s="30" t="s">
        <v>97</v>
      </c>
      <c r="C112" s="31">
        <f t="shared" si="2"/>
        <v>30000</v>
      </c>
      <c r="D112" s="32"/>
      <c r="E112" s="32"/>
      <c r="F112" s="32"/>
      <c r="G112" s="32"/>
      <c r="H112" s="32"/>
      <c r="I112" s="32"/>
      <c r="J112" s="32"/>
      <c r="K112" s="32"/>
      <c r="L112" s="32"/>
      <c r="M112" s="32"/>
      <c r="N112" s="32"/>
      <c r="O112" s="32"/>
      <c r="P112" s="32"/>
      <c r="Q112" s="32"/>
      <c r="R112" s="32">
        <v>30000</v>
      </c>
      <c r="S112" s="32">
        <v>3000</v>
      </c>
      <c r="T112" s="32"/>
      <c r="U112" s="3"/>
      <c r="V112" s="3"/>
      <c r="W112" s="3"/>
      <c r="X112" s="3"/>
      <c r="Y112" s="3"/>
      <c r="Z112" s="3"/>
      <c r="AA112" s="3"/>
      <c r="AB112" s="3"/>
    </row>
    <row r="113" spans="1:28" ht="49.5">
      <c r="A113" s="29">
        <v>47</v>
      </c>
      <c r="B113" s="30" t="s">
        <v>163</v>
      </c>
      <c r="C113" s="31">
        <f>SUM(D113:M113)+P113+Q113+R113</f>
        <v>2000</v>
      </c>
      <c r="D113" s="32"/>
      <c r="E113" s="32"/>
      <c r="F113" s="32"/>
      <c r="G113" s="32"/>
      <c r="H113" s="32"/>
      <c r="I113" s="32"/>
      <c r="J113" s="32"/>
      <c r="K113" s="32"/>
      <c r="L113" s="32"/>
      <c r="M113" s="32"/>
      <c r="N113" s="32"/>
      <c r="O113" s="32"/>
      <c r="P113" s="32"/>
      <c r="Q113" s="32"/>
      <c r="R113" s="32">
        <v>2000</v>
      </c>
      <c r="S113" s="32"/>
      <c r="T113" s="32"/>
      <c r="U113" s="3"/>
      <c r="V113" s="3"/>
      <c r="W113" s="3"/>
      <c r="X113" s="3"/>
      <c r="Y113" s="3"/>
      <c r="Z113" s="3"/>
      <c r="AA113" s="3"/>
      <c r="AB113" s="3"/>
    </row>
    <row r="114" spans="1:28" ht="23.25" customHeight="1">
      <c r="A114" s="29">
        <v>48</v>
      </c>
      <c r="B114" s="30" t="s">
        <v>159</v>
      </c>
      <c r="C114" s="31">
        <f>SUM(D114:M114)+P114+Q114+R114</f>
        <v>556</v>
      </c>
      <c r="D114" s="32"/>
      <c r="E114" s="32"/>
      <c r="F114" s="32">
        <v>556</v>
      </c>
      <c r="G114" s="32"/>
      <c r="H114" s="32"/>
      <c r="I114" s="32"/>
      <c r="J114" s="32"/>
      <c r="K114" s="32"/>
      <c r="L114" s="32"/>
      <c r="M114" s="32"/>
      <c r="N114" s="32"/>
      <c r="O114" s="32"/>
      <c r="P114" s="32"/>
      <c r="Q114" s="32"/>
      <c r="R114" s="32"/>
      <c r="S114" s="32">
        <v>56</v>
      </c>
      <c r="T114" s="32"/>
      <c r="U114" s="3"/>
      <c r="V114" s="3"/>
      <c r="W114" s="3"/>
      <c r="X114" s="3"/>
      <c r="Y114" s="3"/>
      <c r="Z114" s="3"/>
      <c r="AA114" s="3"/>
      <c r="AB114" s="3"/>
    </row>
    <row r="115" spans="1:28" ht="35.25" customHeight="1">
      <c r="A115" s="29">
        <v>49</v>
      </c>
      <c r="B115" s="30" t="s">
        <v>167</v>
      </c>
      <c r="C115" s="31">
        <f>SUM(D115:M115)+P115+Q115+R115</f>
        <v>984</v>
      </c>
      <c r="D115" s="32"/>
      <c r="E115" s="32"/>
      <c r="F115" s="32">
        <v>984</v>
      </c>
      <c r="G115" s="32"/>
      <c r="H115" s="32"/>
      <c r="I115" s="32"/>
      <c r="J115" s="32"/>
      <c r="K115" s="32"/>
      <c r="L115" s="32"/>
      <c r="M115" s="32"/>
      <c r="N115" s="32"/>
      <c r="O115" s="32"/>
      <c r="P115" s="32"/>
      <c r="Q115" s="32"/>
      <c r="R115" s="32"/>
      <c r="S115" s="32"/>
      <c r="T115" s="32"/>
      <c r="U115" s="3"/>
      <c r="V115" s="3"/>
      <c r="W115" s="3"/>
      <c r="X115" s="3"/>
      <c r="Y115" s="3"/>
      <c r="Z115" s="3"/>
      <c r="AA115" s="3"/>
      <c r="AB115" s="3"/>
    </row>
    <row r="116" spans="1:28" ht="21.75" customHeight="1">
      <c r="A116" s="29">
        <v>50</v>
      </c>
      <c r="B116" s="30" t="s">
        <v>160</v>
      </c>
      <c r="C116" s="31">
        <f>SUM(D116:M116)+P116+Q116+R116</f>
        <v>650</v>
      </c>
      <c r="D116" s="32"/>
      <c r="E116" s="32"/>
      <c r="F116" s="32">
        <v>650</v>
      </c>
      <c r="G116" s="32"/>
      <c r="H116" s="32"/>
      <c r="I116" s="32"/>
      <c r="J116" s="32"/>
      <c r="K116" s="32"/>
      <c r="L116" s="32"/>
      <c r="M116" s="32"/>
      <c r="N116" s="32"/>
      <c r="O116" s="32"/>
      <c r="P116" s="32"/>
      <c r="Q116" s="32"/>
      <c r="R116" s="32"/>
      <c r="S116" s="32"/>
      <c r="T116" s="32"/>
      <c r="U116" s="3"/>
      <c r="V116" s="3"/>
      <c r="W116" s="3"/>
      <c r="X116" s="3"/>
      <c r="Y116" s="3"/>
      <c r="Z116" s="3"/>
      <c r="AA116" s="3"/>
      <c r="AB116" s="3"/>
    </row>
    <row r="117" spans="1:28" ht="36" customHeight="1">
      <c r="A117" s="29">
        <v>51</v>
      </c>
      <c r="B117" s="30" t="s">
        <v>165</v>
      </c>
      <c r="C117" s="31">
        <f>SUM(D117:M117)+P117+Q117+R117</f>
        <v>2000</v>
      </c>
      <c r="D117" s="32"/>
      <c r="E117" s="32"/>
      <c r="F117" s="32">
        <v>2000</v>
      </c>
      <c r="G117" s="32"/>
      <c r="H117" s="32"/>
      <c r="I117" s="32"/>
      <c r="J117" s="32"/>
      <c r="K117" s="32"/>
      <c r="L117" s="32"/>
      <c r="M117" s="32"/>
      <c r="N117" s="32"/>
      <c r="O117" s="32"/>
      <c r="P117" s="32"/>
      <c r="Q117" s="32"/>
      <c r="R117" s="32"/>
      <c r="S117" s="32"/>
      <c r="T117" s="32"/>
      <c r="U117" s="3"/>
      <c r="V117" s="3"/>
      <c r="W117" s="3"/>
      <c r="X117" s="3"/>
      <c r="Y117" s="3"/>
      <c r="Z117" s="3"/>
      <c r="AA117" s="3"/>
      <c r="AB117" s="3"/>
    </row>
    <row r="118" spans="1:28" ht="21.75" customHeight="1">
      <c r="A118" s="29">
        <v>52</v>
      </c>
      <c r="B118" s="30" t="s">
        <v>98</v>
      </c>
      <c r="C118" s="31">
        <f t="shared" si="2"/>
        <v>14126</v>
      </c>
      <c r="D118" s="32"/>
      <c r="E118" s="32"/>
      <c r="F118" s="32">
        <v>11348</v>
      </c>
      <c r="G118" s="32">
        <v>2778</v>
      </c>
      <c r="H118" s="32"/>
      <c r="I118" s="32"/>
      <c r="J118" s="32"/>
      <c r="K118" s="32"/>
      <c r="L118" s="32"/>
      <c r="M118" s="32"/>
      <c r="N118" s="32"/>
      <c r="O118" s="32"/>
      <c r="P118" s="32"/>
      <c r="Q118" s="32"/>
      <c r="R118" s="32"/>
      <c r="S118" s="32">
        <f>1135+278</f>
        <v>1413</v>
      </c>
      <c r="T118" s="32"/>
      <c r="U118" s="3"/>
      <c r="V118" s="3"/>
      <c r="W118" s="3"/>
      <c r="X118" s="3"/>
      <c r="Y118" s="3"/>
      <c r="Z118" s="3"/>
      <c r="AA118" s="3"/>
      <c r="AB118" s="3"/>
    </row>
    <row r="119" spans="1:28" ht="52.5" customHeight="1">
      <c r="A119" s="29">
        <v>53</v>
      </c>
      <c r="B119" s="30" t="s">
        <v>161</v>
      </c>
      <c r="C119" s="31">
        <f t="shared" si="2"/>
        <v>5000</v>
      </c>
      <c r="D119" s="32"/>
      <c r="E119" s="32"/>
      <c r="F119" s="32"/>
      <c r="G119" s="32">
        <v>5000</v>
      </c>
      <c r="H119" s="32"/>
      <c r="I119" s="32"/>
      <c r="J119" s="32"/>
      <c r="K119" s="32"/>
      <c r="L119" s="32"/>
      <c r="M119" s="32"/>
      <c r="N119" s="32"/>
      <c r="O119" s="32"/>
      <c r="P119" s="32"/>
      <c r="Q119" s="32"/>
      <c r="R119" s="32"/>
      <c r="S119" s="32">
        <v>500</v>
      </c>
      <c r="T119" s="32"/>
      <c r="U119" s="3"/>
      <c r="V119" s="3"/>
      <c r="W119" s="3"/>
      <c r="X119" s="3"/>
      <c r="Y119" s="3"/>
      <c r="Z119" s="3"/>
      <c r="AA119" s="3"/>
      <c r="AB119" s="3"/>
    </row>
    <row r="120" spans="1:28" ht="36.75" customHeight="1">
      <c r="A120" s="44">
        <v>54</v>
      </c>
      <c r="B120" s="48" t="s">
        <v>162</v>
      </c>
      <c r="C120" s="45">
        <f t="shared" si="2"/>
        <v>1111</v>
      </c>
      <c r="D120" s="46"/>
      <c r="E120" s="46"/>
      <c r="F120" s="46"/>
      <c r="G120" s="46">
        <v>1111</v>
      </c>
      <c r="H120" s="46"/>
      <c r="I120" s="46"/>
      <c r="J120" s="46"/>
      <c r="K120" s="46"/>
      <c r="L120" s="46"/>
      <c r="M120" s="46"/>
      <c r="N120" s="46"/>
      <c r="O120" s="46"/>
      <c r="P120" s="46"/>
      <c r="Q120" s="46"/>
      <c r="R120" s="46"/>
      <c r="S120" s="46">
        <v>111</v>
      </c>
      <c r="T120" s="46"/>
      <c r="U120" s="3"/>
      <c r="V120" s="3"/>
      <c r="W120" s="3"/>
      <c r="X120" s="3"/>
      <c r="Y120" s="3"/>
      <c r="Z120" s="3"/>
      <c r="AA120" s="3"/>
      <c r="AB120" s="3"/>
    </row>
    <row r="121" spans="1:28" ht="18.75" customHeight="1">
      <c r="A121" s="11"/>
      <c r="B121" s="11"/>
      <c r="C121" s="11"/>
      <c r="D121" s="11"/>
      <c r="E121" s="11"/>
      <c r="F121" s="11"/>
      <c r="G121" s="11"/>
      <c r="H121" s="11"/>
      <c r="I121" s="11"/>
      <c r="J121" s="11"/>
      <c r="K121" s="11"/>
      <c r="L121" s="11"/>
      <c r="M121" s="11"/>
      <c r="N121" s="11"/>
      <c r="O121" s="11"/>
      <c r="P121" s="11"/>
      <c r="Q121" s="11"/>
      <c r="R121" s="11"/>
      <c r="S121" s="3"/>
      <c r="T121" s="3"/>
      <c r="U121" s="3"/>
      <c r="V121" s="3"/>
      <c r="W121" s="3"/>
      <c r="X121" s="3"/>
      <c r="Y121" s="3"/>
      <c r="Z121" s="3"/>
      <c r="AA121" s="3"/>
      <c r="AB121" s="3"/>
    </row>
    <row r="122" spans="1:28" ht="19.5" hidden="1">
      <c r="A122" s="3"/>
      <c r="B122" s="3"/>
      <c r="C122" s="3"/>
      <c r="D122" s="3"/>
      <c r="E122" s="3"/>
      <c r="F122" s="3"/>
      <c r="G122" s="3"/>
      <c r="H122" s="3"/>
      <c r="I122" s="3"/>
      <c r="J122" s="3"/>
      <c r="K122" s="3"/>
      <c r="L122" s="3"/>
      <c r="P122" s="65" t="s">
        <v>101</v>
      </c>
      <c r="Q122" s="65"/>
      <c r="R122" s="65"/>
      <c r="S122" s="3"/>
      <c r="T122" s="3"/>
      <c r="U122" s="3"/>
      <c r="V122" s="3"/>
      <c r="W122" s="3"/>
      <c r="X122" s="3"/>
      <c r="Y122" s="3"/>
      <c r="Z122" s="3"/>
      <c r="AA122" s="3"/>
      <c r="AB122" s="3"/>
    </row>
    <row r="123" spans="1:28" ht="15.75" hidden="1" customHeight="1">
      <c r="A123" s="3"/>
      <c r="B123" s="3"/>
      <c r="C123" s="3"/>
      <c r="D123" s="3"/>
      <c r="E123" s="3"/>
      <c r="F123" s="3"/>
      <c r="G123" s="3"/>
      <c r="H123" s="3"/>
      <c r="I123" s="3"/>
      <c r="J123" s="3"/>
      <c r="K123" s="3"/>
      <c r="L123" s="3"/>
      <c r="M123" s="14"/>
      <c r="N123" s="14"/>
      <c r="O123" s="14"/>
      <c r="P123" s="3"/>
      <c r="Q123" s="3"/>
      <c r="R123" s="3"/>
      <c r="S123" s="3"/>
      <c r="T123" s="3"/>
      <c r="U123" s="3"/>
      <c r="V123" s="3"/>
      <c r="W123" s="3"/>
      <c r="X123" s="3"/>
      <c r="Y123" s="3"/>
      <c r="Z123" s="3"/>
      <c r="AA123" s="3"/>
      <c r="AB123" s="3"/>
    </row>
    <row r="124" spans="1:28" ht="15.75" hidden="1" customHeight="1">
      <c r="A124" s="3"/>
      <c r="B124" s="3"/>
      <c r="C124" s="3"/>
      <c r="D124" s="3"/>
      <c r="E124" s="3"/>
      <c r="F124" s="3"/>
      <c r="G124" s="3"/>
      <c r="H124" s="3"/>
      <c r="I124" s="3"/>
      <c r="J124" s="3"/>
      <c r="K124" s="3"/>
      <c r="L124" s="3"/>
      <c r="M124" s="14"/>
      <c r="N124" s="14"/>
      <c r="O124" s="14"/>
      <c r="P124" s="3"/>
      <c r="Q124" s="3"/>
      <c r="R124" s="3"/>
      <c r="S124" s="3"/>
      <c r="T124" s="3"/>
      <c r="U124" s="3"/>
      <c r="V124" s="3"/>
      <c r="W124" s="3"/>
      <c r="X124" s="3"/>
      <c r="Y124" s="3"/>
      <c r="Z124" s="3"/>
      <c r="AA124" s="3"/>
      <c r="AB124" s="3"/>
    </row>
    <row r="125" spans="1:28" ht="15.75" hidden="1" customHeight="1">
      <c r="A125" s="3"/>
      <c r="B125" s="3"/>
      <c r="C125" s="3"/>
      <c r="D125" s="3"/>
      <c r="E125" s="3"/>
      <c r="F125" s="3"/>
      <c r="G125" s="3"/>
      <c r="H125" s="3"/>
      <c r="I125" s="3"/>
      <c r="J125" s="3"/>
      <c r="K125" s="3"/>
      <c r="L125" s="3"/>
      <c r="M125" s="14"/>
      <c r="N125" s="14"/>
      <c r="O125" s="14"/>
      <c r="P125" s="3"/>
      <c r="Q125" s="3"/>
      <c r="R125" s="3"/>
      <c r="S125" s="3"/>
      <c r="T125" s="3"/>
      <c r="U125" s="3"/>
      <c r="V125" s="3"/>
      <c r="W125" s="3"/>
      <c r="X125" s="3"/>
      <c r="Y125" s="3"/>
      <c r="Z125" s="3"/>
      <c r="AA125" s="3"/>
      <c r="AB125" s="3"/>
    </row>
    <row r="126" spans="1:28" ht="15.75" hidden="1" customHeight="1">
      <c r="A126" s="3"/>
      <c r="B126" s="3"/>
      <c r="C126" s="3"/>
      <c r="D126" s="3"/>
      <c r="E126" s="3"/>
      <c r="F126" s="3"/>
      <c r="G126" s="3"/>
      <c r="H126" s="3"/>
      <c r="I126" s="3"/>
      <c r="J126" s="3"/>
      <c r="K126" s="3"/>
      <c r="L126" s="3"/>
      <c r="M126" s="14"/>
      <c r="N126" s="14"/>
      <c r="O126" s="14"/>
      <c r="P126" s="3"/>
      <c r="Q126" s="3"/>
      <c r="R126" s="3"/>
      <c r="S126" s="3"/>
      <c r="T126" s="3"/>
      <c r="U126" s="3"/>
      <c r="V126" s="3"/>
      <c r="W126" s="3"/>
      <c r="X126" s="3"/>
      <c r="Y126" s="3"/>
      <c r="Z126" s="3"/>
      <c r="AA126" s="3"/>
      <c r="AB126" s="3"/>
    </row>
    <row r="127" spans="1:28" ht="15.75" hidden="1" customHeight="1">
      <c r="A127" s="3"/>
      <c r="B127" s="3"/>
      <c r="C127" s="3"/>
      <c r="D127" s="3"/>
      <c r="E127" s="3"/>
      <c r="F127" s="3"/>
      <c r="G127" s="3"/>
      <c r="H127" s="3"/>
      <c r="I127" s="3"/>
      <c r="J127" s="3"/>
      <c r="K127" s="3"/>
      <c r="L127" s="3"/>
      <c r="M127" s="14"/>
      <c r="N127" s="14"/>
      <c r="O127" s="14"/>
      <c r="P127" s="3"/>
      <c r="Q127" s="3"/>
      <c r="R127" s="3"/>
      <c r="S127" s="3"/>
      <c r="T127" s="3"/>
      <c r="U127" s="3"/>
      <c r="V127" s="3"/>
      <c r="W127" s="3"/>
      <c r="X127" s="3"/>
      <c r="Y127" s="3"/>
      <c r="Z127" s="3"/>
      <c r="AA127" s="3"/>
      <c r="AB127" s="3"/>
    </row>
    <row r="128" spans="1:28" ht="15.75" hidden="1" customHeight="1">
      <c r="A128" s="3"/>
      <c r="B128" s="3"/>
      <c r="C128" s="3"/>
      <c r="D128" s="3"/>
      <c r="E128" s="3"/>
      <c r="F128" s="3"/>
      <c r="G128" s="3"/>
      <c r="H128" s="3"/>
      <c r="I128" s="3"/>
      <c r="J128" s="3"/>
      <c r="K128" s="3"/>
      <c r="L128" s="3"/>
      <c r="P128" s="65" t="s">
        <v>102</v>
      </c>
      <c r="Q128" s="65"/>
      <c r="R128" s="65"/>
      <c r="S128" s="3"/>
      <c r="T128" s="3"/>
      <c r="U128" s="3"/>
      <c r="V128" s="3"/>
      <c r="W128" s="3"/>
      <c r="X128" s="3"/>
      <c r="Y128" s="3"/>
      <c r="Z128" s="3"/>
      <c r="AA128" s="3"/>
      <c r="AB128" s="3"/>
    </row>
    <row r="129" spans="1:2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1:2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1:2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1:2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1:2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1:2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1:2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1:2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1:2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1:2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1:2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1:2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1:2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1:2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1:2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1:2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1:2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1:2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1:2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1:2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1:2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1:2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1:2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1:2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1:2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1:2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1:2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1:2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1:2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1:2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1:2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1:2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1:2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1:2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1:2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1:2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1:2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1:2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1:2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1:2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1:2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1:2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1:2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1:2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1:2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1:2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1:2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1:2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1:2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1:2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1:2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1:2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1:2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1:2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1:2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1:2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1:2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1:2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1:2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1:2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1:2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1:2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1:2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1:2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1:2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1:2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1:2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1:2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1:2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1:2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1:2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1:2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1:2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1:2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1:2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1:2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1:2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1:2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1:2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1:2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1:2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1:2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1:2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1:2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1:2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1:2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1:2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1:2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1:2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1:2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1:2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1:2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1:2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1:2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1:2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1:2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1:2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1: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1:28"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1:28"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1:28"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1:28"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1:28"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1:28"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1:28"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1:28"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1:28"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1:2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1:28"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1:28"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1:28"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1:28"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1:28"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1:28"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1:28"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1:28"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1:28"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1:2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1:28"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1:28"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1:28"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1:28"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1:28"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1:28"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1:28"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1:28"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1:28"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1:2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1:28"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1:28"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1:28"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1:28"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1:28"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1:28"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1:28"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1:28"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1:28"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1:2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1:28"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1:28"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1:28"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1:28"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1:28"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1:28"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1:28"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1:28"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1:28"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1:2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1:28"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1:28"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1:28"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1:28"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1:28"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1:28"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1:28"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1:28"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1:28"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1:2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1:28"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1:28"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1:28"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1:28"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1:28"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1:28"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1:28"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1:28"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1:28"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1:2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1:28"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1:28"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1:28"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1:28"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1:28"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1:28"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1:28"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1:28"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1:28"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1:2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1:28"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1:28"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1:28"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1:28"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1:28"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1:28"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1:28"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1:28"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1:28"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1:2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1:28"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1:28"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1:28"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1:28"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1:28"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1:28"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1:28"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1:28"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1:28"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1: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1:28"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1:28"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1:28"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1:28"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1:28"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1:28"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1:28"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1:28"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1:28"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1:2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1:28"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1:28"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1:28"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1:28"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1:28"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1:28"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1:28"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1:28"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1:28"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1:2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1:28"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1:28"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1:28"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1:28"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1:28"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1:28"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1:28"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1:28"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1:28"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1:2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1:28"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1:28"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1:28"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1:28"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1:28"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1:28"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1:28"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1:28"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1:28"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1:2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1:28"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1:28"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1:28"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1:28"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1:28"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1:28"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1:28"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1:28"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1:28"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1:2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1:28"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1:28"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1:28"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1:28"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1:28"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1:28"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1:28"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1:28"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1:28"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1:2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1:28"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1:28"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1:28"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1:28"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1:28"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1:28"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1:28"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1:28"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1:28"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1:2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1:28"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1:28"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1:28"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1:28"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1:28"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1:28"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1:28"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1:28"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1:28"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1:2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1:28"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1:28"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1:28"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1:28"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1:28"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1:28"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1:28"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1:28"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1:28"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1:2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1:28"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1:28"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1:28"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1:28"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1:28"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1:28"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1:28"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1:28"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1:28"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1: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1:28"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1:28"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1:28"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1:28"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1:28"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1:28"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1:28"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1:28"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1:28"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1:2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1:28"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1:28"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1:28"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1:28"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1:28"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1:28"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1:28"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1:28"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1:28"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1:2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1:28"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1:28"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1:28"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1:28"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1:28"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1:28"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1:28"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1:28"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1:28"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1:2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1:28"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1:28"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1:28"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1:28"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1:28"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1:28"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1:28"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1:28"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1:28"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1:2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1:28"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1:28"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1:28"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1:28"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1:28"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1:28"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5.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5.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5.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sheetData>
  <mergeCells count="25">
    <mergeCell ref="P128:R128"/>
    <mergeCell ref="M11:M12"/>
    <mergeCell ref="N11:O11"/>
    <mergeCell ref="P11:P12"/>
    <mergeCell ref="I1:T1"/>
    <mergeCell ref="I2:T2"/>
    <mergeCell ref="A7:T7"/>
    <mergeCell ref="A8:T8"/>
    <mergeCell ref="P122:R122"/>
    <mergeCell ref="F11:F12"/>
    <mergeCell ref="Q11:Q12"/>
    <mergeCell ref="R11:R12"/>
    <mergeCell ref="A9:T9"/>
    <mergeCell ref="A11:A12"/>
    <mergeCell ref="B11:B12"/>
    <mergeCell ref="C11:C12"/>
    <mergeCell ref="D11:D12"/>
    <mergeCell ref="E11:E12"/>
    <mergeCell ref="S11:T11"/>
    <mergeCell ref="G11:G12"/>
    <mergeCell ref="H11:H12"/>
    <mergeCell ref="I11:I12"/>
    <mergeCell ref="J11:J12"/>
    <mergeCell ref="K11:K12"/>
    <mergeCell ref="L11:L12"/>
  </mergeCells>
  <pageMargins left="0.27559055118110237" right="0.15748031496062992" top="0.39370078740157483" bottom="0.33" header="0.31496062992125984" footer="0.21"/>
  <pageSetup paperSize="9" scale="60" orientation="landscape" r:id="rId1"/>
  <headerFooter>
    <oddFooter>&amp;C&amp;P</oddFooter>
  </headerFooter>
  <legacy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wic_System_Copyright xmlns="http://schemas.microsoft.com/sharepoint/v3/fields" xsi:nil="true"/>
    <ImageCreateDate xmlns="9C6D82A7-3126-4D42-A1EE-064A4577BAA4" xsi:nil="true"/>
  </documentManagement>
</p:properties>
</file>

<file path=customXml/itemProps1.xml><?xml version="1.0" encoding="utf-8"?>
<ds:datastoreItem xmlns:ds="http://schemas.openxmlformats.org/officeDocument/2006/customXml" ds:itemID="{2178C820-5CEB-4618-9F7E-A4099E84E85B}"/>
</file>

<file path=customXml/itemProps2.xml><?xml version="1.0" encoding="utf-8"?>
<ds:datastoreItem xmlns:ds="http://schemas.openxmlformats.org/officeDocument/2006/customXml" ds:itemID="{6546A03D-6386-4135-A0A5-7BB5A9153309}"/>
</file>

<file path=customXml/itemProps3.xml><?xml version="1.0" encoding="utf-8"?>
<ds:datastoreItem xmlns:ds="http://schemas.openxmlformats.org/officeDocument/2006/customXml" ds:itemID="{385956DA-5FBE-439C-9D2C-ED2E82FFB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To trinh BCS</vt:lpstr>
      <vt:lpstr>To trinh UBND</vt:lpstr>
      <vt:lpstr>PL VII</vt:lpstr>
      <vt:lpstr>Sheet2</vt:lpstr>
      <vt:lpstr>Sheet3</vt:lpstr>
      <vt:lpstr>'PL VII'!Print_Titles</vt:lpstr>
      <vt:lpstr>'To trinh BCS'!Print_Titles</vt:lpstr>
      <vt:lpstr>'To trinh UBND'!Print_Titles</vt:lpstr>
    </vt:vector>
  </TitlesOfParts>
  <Company>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nguyenvonhathang</dc:creator>
  <cp:keywords/>
  <dc:description/>
  <cp:lastModifiedBy>nguyenvonhathang</cp:lastModifiedBy>
  <cp:lastPrinted>2019-12-29T13:26:19Z</cp:lastPrinted>
  <dcterms:created xsi:type="dcterms:W3CDTF">2017-11-14T02:03:17Z</dcterms:created>
  <dcterms:modified xsi:type="dcterms:W3CDTF">2020-01-06T02:43:38Z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